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defaultThemeVersion="166925"/>
  <mc:AlternateContent xmlns:mc="http://schemas.openxmlformats.org/markup-compatibility/2006">
    <mc:Choice Requires="x15">
      <x15ac:absPath xmlns:x15ac="http://schemas.microsoft.com/office/spreadsheetml/2010/11/ac" url="N:\FTFO 2021-22\"/>
    </mc:Choice>
  </mc:AlternateContent>
  <xr:revisionPtr revIDLastSave="0" documentId="8_{3BB04E83-20B9-403A-94BE-767F7869CC67}" xr6:coauthVersionLast="36" xr6:coauthVersionMax="36" xr10:uidLastSave="{00000000-0000-0000-0000-000000000000}"/>
  <bookViews>
    <workbookView xWindow="0" yWindow="0" windowWidth="28800" windowHeight="10845" xr2:uid="{00000000-000D-0000-FFFF-FFFF00000000}"/>
  </bookViews>
  <sheets>
    <sheet name="Fall 2021 FON Compliance Form" sheetId="1" r:id="rId1"/>
    <sheet name="Definitions" sheetId="4" r:id="rId2"/>
    <sheet name="Fall 2021 Compliance FON" sheetId="6" r:id="rId3"/>
    <sheet name="Fall 2021 P2 FON" sheetId="7" r:id="rId4"/>
    <sheet name="FON Estimator" sheetId="8" r:id="rId5"/>
    <sheet name="ReplacementCost" sheetId="3" r:id="rId6"/>
  </sheets>
  <definedNames>
    <definedName name="_Dist_Bin" localSheetId="1" hidden="1">#REF!</definedName>
    <definedName name="_Dist_Bin" localSheetId="2" hidden="1">#REF!</definedName>
    <definedName name="_Dist_Bin" localSheetId="3" hidden="1">#REF!</definedName>
    <definedName name="_Dist_Bin" localSheetId="4" hidden="1">#REF!</definedName>
    <definedName name="_Dist_Bin" hidden="1">#REF!</definedName>
    <definedName name="_Dist_Values" localSheetId="1" hidden="1">#REF!</definedName>
    <definedName name="_Dist_Values" localSheetId="2" hidden="1">#REF!</definedName>
    <definedName name="_Dist_Values" localSheetId="3" hidden="1">#REF!</definedName>
    <definedName name="_Dist_Values" localSheetId="4" hidden="1">#REF!</definedName>
    <definedName name="_Dist_Values" hidden="1">#REF!</definedName>
    <definedName name="_Fill" localSheetId="1" hidden="1">#REF!</definedName>
    <definedName name="_Fill" localSheetId="2" hidden="1">#REF!</definedName>
    <definedName name="_Fill" localSheetId="3" hidden="1">#REF!</definedName>
    <definedName name="_Fill" localSheetId="4" hidden="1">#REF!</definedName>
    <definedName name="_Fill" hidden="1">#REF!</definedName>
    <definedName name="_xlnm._FilterDatabase" localSheetId="2" hidden="1">'Fall 2021 Compliance FON'!$B$3:$B$75</definedName>
    <definedName name="_xlnm._FilterDatabase" localSheetId="3" hidden="1">'Fall 2021 P2 FON'!$A$2:$J$74</definedName>
    <definedName name="_Sort" localSheetId="1" hidden="1">#REF!</definedName>
    <definedName name="_Sort" localSheetId="2" hidden="1">#REF!</definedName>
    <definedName name="_Sort" localSheetId="3" hidden="1">#REF!</definedName>
    <definedName name="_Sort" localSheetId="4" hidden="1">#REF!</definedName>
    <definedName name="_Sort" hidden="1">#REF!</definedName>
    <definedName name="Base_FON___2019_20_R1_FON___a" comment="Use in FON Estimator">'Fall 2021 P2 FON'!$B$2:$B$74</definedName>
    <definedName name="Fall2021_ComplianceFON" comment="Use in Compliance Form" localSheetId="0">Chart_FON[]</definedName>
    <definedName name="FALL2021COMPLIANCE" comment="Use in FORM" localSheetId="5">#REF!</definedName>
    <definedName name="Fall2021P2ComplianceFONCalc" comment="Use for FON ESTIMATOR">'Fall 2021 P2 FON'!$A$3:$J$74</definedName>
    <definedName name="_xlnm.Print_Area" localSheetId="2">'Fall 2021 Compliance FON'!$B$2:$H$76</definedName>
    <definedName name="_xlnm.Print_Area" localSheetId="0">'Fall 2021 FON Compliance Form'!$A$1:$J$38</definedName>
    <definedName name="_xlnm.Print_Area" localSheetId="3">Fall2021P2_ComplianceFON_Calcs[#All]</definedName>
    <definedName name="_xlnm.Print_Area" localSheetId="4">'FON Estimator'!$C$2:$E$18</definedName>
    <definedName name="_xlnm.Print_Titles" localSheetId="2">'Fall 2021 Compliance FON'!$2:$3</definedName>
    <definedName name="_xlnm.Print_Titles" localSheetId="3">'Fall 2021 P2 FON'!$1:$2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2" i="1" l="1"/>
  <c r="J21" i="1"/>
  <c r="B17" i="3" l="1"/>
  <c r="B21" i="3" s="1"/>
  <c r="B9" i="3"/>
  <c r="B10" i="3" s="1"/>
  <c r="E13" i="8"/>
  <c r="E12" i="8"/>
  <c r="E11" i="8"/>
  <c r="E10" i="8"/>
  <c r="D75" i="7"/>
  <c r="C75" i="7"/>
  <c r="B75" i="7"/>
  <c r="F74" i="7"/>
  <c r="G74" i="7" s="1"/>
  <c r="H74" i="7" s="1"/>
  <c r="I74" i="7" s="1"/>
  <c r="J74" i="7" s="1"/>
  <c r="F73" i="7"/>
  <c r="G73" i="7" s="1"/>
  <c r="H73" i="7" s="1"/>
  <c r="I73" i="7" s="1"/>
  <c r="J73" i="7" s="1"/>
  <c r="G72" i="7"/>
  <c r="H72" i="7" s="1"/>
  <c r="I72" i="7" s="1"/>
  <c r="J72" i="7" s="1"/>
  <c r="F72" i="7"/>
  <c r="F71" i="7"/>
  <c r="G71" i="7" s="1"/>
  <c r="H71" i="7" s="1"/>
  <c r="I71" i="7" s="1"/>
  <c r="J71" i="7" s="1"/>
  <c r="F70" i="7"/>
  <c r="G70" i="7" s="1"/>
  <c r="H70" i="7" s="1"/>
  <c r="I70" i="7" s="1"/>
  <c r="J70" i="7" s="1"/>
  <c r="F69" i="7"/>
  <c r="G69" i="7" s="1"/>
  <c r="H69" i="7" s="1"/>
  <c r="I69" i="7" s="1"/>
  <c r="J69" i="7" s="1"/>
  <c r="G68" i="7"/>
  <c r="H68" i="7" s="1"/>
  <c r="I68" i="7" s="1"/>
  <c r="J68" i="7" s="1"/>
  <c r="F68" i="7"/>
  <c r="F67" i="7"/>
  <c r="G67" i="7" s="1"/>
  <c r="H67" i="7" s="1"/>
  <c r="I67" i="7" s="1"/>
  <c r="J67" i="7" s="1"/>
  <c r="F66" i="7"/>
  <c r="G66" i="7" s="1"/>
  <c r="H66" i="7" s="1"/>
  <c r="I66" i="7" s="1"/>
  <c r="J66" i="7" s="1"/>
  <c r="F65" i="7"/>
  <c r="G65" i="7" s="1"/>
  <c r="H65" i="7" s="1"/>
  <c r="I65" i="7" s="1"/>
  <c r="J65" i="7" s="1"/>
  <c r="G64" i="7"/>
  <c r="H64" i="7" s="1"/>
  <c r="I64" i="7" s="1"/>
  <c r="J64" i="7" s="1"/>
  <c r="F64" i="7"/>
  <c r="F63" i="7"/>
  <c r="G63" i="7" s="1"/>
  <c r="H63" i="7" s="1"/>
  <c r="I63" i="7" s="1"/>
  <c r="J63" i="7" s="1"/>
  <c r="F62" i="7"/>
  <c r="G62" i="7" s="1"/>
  <c r="H62" i="7" s="1"/>
  <c r="I62" i="7" s="1"/>
  <c r="J62" i="7" s="1"/>
  <c r="F61" i="7"/>
  <c r="G61" i="7" s="1"/>
  <c r="H61" i="7" s="1"/>
  <c r="I61" i="7" s="1"/>
  <c r="J61" i="7" s="1"/>
  <c r="G60" i="7"/>
  <c r="H60" i="7" s="1"/>
  <c r="I60" i="7" s="1"/>
  <c r="J60" i="7" s="1"/>
  <c r="F60" i="7"/>
  <c r="F59" i="7"/>
  <c r="G59" i="7" s="1"/>
  <c r="H59" i="7" s="1"/>
  <c r="I59" i="7" s="1"/>
  <c r="J59" i="7" s="1"/>
  <c r="F58" i="7"/>
  <c r="G58" i="7" s="1"/>
  <c r="H58" i="7" s="1"/>
  <c r="I58" i="7" s="1"/>
  <c r="J58" i="7" s="1"/>
  <c r="F57" i="7"/>
  <c r="G57" i="7" s="1"/>
  <c r="H57" i="7" s="1"/>
  <c r="I57" i="7" s="1"/>
  <c r="J57" i="7" s="1"/>
  <c r="G56" i="7"/>
  <c r="H56" i="7" s="1"/>
  <c r="I56" i="7" s="1"/>
  <c r="J56" i="7" s="1"/>
  <c r="F56" i="7"/>
  <c r="F55" i="7"/>
  <c r="G55" i="7" s="1"/>
  <c r="H55" i="7" s="1"/>
  <c r="I55" i="7" s="1"/>
  <c r="J55" i="7" s="1"/>
  <c r="F54" i="7"/>
  <c r="G54" i="7" s="1"/>
  <c r="H54" i="7" s="1"/>
  <c r="I54" i="7" s="1"/>
  <c r="J54" i="7" s="1"/>
  <c r="F53" i="7"/>
  <c r="G53" i="7" s="1"/>
  <c r="H53" i="7" s="1"/>
  <c r="I53" i="7" s="1"/>
  <c r="J53" i="7" s="1"/>
  <c r="H52" i="7"/>
  <c r="I52" i="7" s="1"/>
  <c r="J52" i="7" s="1"/>
  <c r="G52" i="7"/>
  <c r="F52" i="7"/>
  <c r="H51" i="7"/>
  <c r="I51" i="7" s="1"/>
  <c r="J51" i="7" s="1"/>
  <c r="F51" i="7"/>
  <c r="G51" i="7" s="1"/>
  <c r="F50" i="7"/>
  <c r="G50" i="7" s="1"/>
  <c r="H50" i="7" s="1"/>
  <c r="I50" i="7" s="1"/>
  <c r="J50" i="7" s="1"/>
  <c r="F49" i="7"/>
  <c r="G49" i="7" s="1"/>
  <c r="H49" i="7" s="1"/>
  <c r="I49" i="7" s="1"/>
  <c r="J49" i="7" s="1"/>
  <c r="H48" i="7"/>
  <c r="I48" i="7" s="1"/>
  <c r="J48" i="7" s="1"/>
  <c r="G48" i="7"/>
  <c r="F48" i="7"/>
  <c r="H47" i="7"/>
  <c r="I47" i="7" s="1"/>
  <c r="J47" i="7" s="1"/>
  <c r="F47" i="7"/>
  <c r="G47" i="7" s="1"/>
  <c r="F46" i="7"/>
  <c r="G46" i="7" s="1"/>
  <c r="H46" i="7" s="1"/>
  <c r="I46" i="7" s="1"/>
  <c r="J46" i="7" s="1"/>
  <c r="F45" i="7"/>
  <c r="G45" i="7" s="1"/>
  <c r="H45" i="7" s="1"/>
  <c r="I45" i="7" s="1"/>
  <c r="J45" i="7" s="1"/>
  <c r="H44" i="7"/>
  <c r="I44" i="7" s="1"/>
  <c r="J44" i="7" s="1"/>
  <c r="G44" i="7"/>
  <c r="F44" i="7"/>
  <c r="H43" i="7"/>
  <c r="I43" i="7" s="1"/>
  <c r="J43" i="7" s="1"/>
  <c r="F43" i="7"/>
  <c r="G43" i="7" s="1"/>
  <c r="F42" i="7"/>
  <c r="G42" i="7" s="1"/>
  <c r="H42" i="7" s="1"/>
  <c r="I42" i="7" s="1"/>
  <c r="J42" i="7" s="1"/>
  <c r="F41" i="7"/>
  <c r="G41" i="7" s="1"/>
  <c r="H41" i="7" s="1"/>
  <c r="I41" i="7" s="1"/>
  <c r="J41" i="7" s="1"/>
  <c r="H40" i="7"/>
  <c r="I40" i="7" s="1"/>
  <c r="J40" i="7" s="1"/>
  <c r="G40" i="7"/>
  <c r="F40" i="7"/>
  <c r="H39" i="7"/>
  <c r="I39" i="7" s="1"/>
  <c r="J39" i="7" s="1"/>
  <c r="F39" i="7"/>
  <c r="G39" i="7" s="1"/>
  <c r="F38" i="7"/>
  <c r="G38" i="7" s="1"/>
  <c r="H38" i="7" s="1"/>
  <c r="I38" i="7" s="1"/>
  <c r="J38" i="7" s="1"/>
  <c r="F37" i="7"/>
  <c r="G37" i="7" s="1"/>
  <c r="H37" i="7" s="1"/>
  <c r="I37" i="7" s="1"/>
  <c r="J37" i="7" s="1"/>
  <c r="H36" i="7"/>
  <c r="I36" i="7" s="1"/>
  <c r="J36" i="7" s="1"/>
  <c r="G36" i="7"/>
  <c r="F36" i="7"/>
  <c r="H35" i="7"/>
  <c r="I35" i="7" s="1"/>
  <c r="J35" i="7" s="1"/>
  <c r="F35" i="7"/>
  <c r="G35" i="7" s="1"/>
  <c r="F34" i="7"/>
  <c r="G34" i="7" s="1"/>
  <c r="H34" i="7" s="1"/>
  <c r="I34" i="7" s="1"/>
  <c r="J34" i="7" s="1"/>
  <c r="F33" i="7"/>
  <c r="G33" i="7" s="1"/>
  <c r="H33" i="7" s="1"/>
  <c r="I33" i="7" s="1"/>
  <c r="J33" i="7" s="1"/>
  <c r="H32" i="7"/>
  <c r="I32" i="7" s="1"/>
  <c r="J32" i="7" s="1"/>
  <c r="G32" i="7"/>
  <c r="F32" i="7"/>
  <c r="H31" i="7"/>
  <c r="I31" i="7" s="1"/>
  <c r="J31" i="7" s="1"/>
  <c r="F31" i="7"/>
  <c r="G31" i="7" s="1"/>
  <c r="F30" i="7"/>
  <c r="G30" i="7" s="1"/>
  <c r="H30" i="7" s="1"/>
  <c r="I30" i="7" s="1"/>
  <c r="J30" i="7" s="1"/>
  <c r="F29" i="7"/>
  <c r="G29" i="7" s="1"/>
  <c r="H29" i="7" s="1"/>
  <c r="I29" i="7" s="1"/>
  <c r="J29" i="7" s="1"/>
  <c r="H28" i="7"/>
  <c r="I28" i="7" s="1"/>
  <c r="J28" i="7" s="1"/>
  <c r="G28" i="7"/>
  <c r="F28" i="7"/>
  <c r="H27" i="7"/>
  <c r="I27" i="7" s="1"/>
  <c r="J27" i="7" s="1"/>
  <c r="F27" i="7"/>
  <c r="G27" i="7" s="1"/>
  <c r="F26" i="7"/>
  <c r="G26" i="7" s="1"/>
  <c r="H26" i="7" s="1"/>
  <c r="I26" i="7" s="1"/>
  <c r="J26" i="7" s="1"/>
  <c r="F25" i="7"/>
  <c r="G25" i="7" s="1"/>
  <c r="H25" i="7" s="1"/>
  <c r="I25" i="7" s="1"/>
  <c r="J25" i="7" s="1"/>
  <c r="H24" i="7"/>
  <c r="I24" i="7" s="1"/>
  <c r="J24" i="7" s="1"/>
  <c r="G24" i="7"/>
  <c r="F24" i="7"/>
  <c r="H23" i="7"/>
  <c r="I23" i="7" s="1"/>
  <c r="J23" i="7" s="1"/>
  <c r="F23" i="7"/>
  <c r="G23" i="7" s="1"/>
  <c r="F22" i="7"/>
  <c r="G22" i="7" s="1"/>
  <c r="H22" i="7" s="1"/>
  <c r="I22" i="7" s="1"/>
  <c r="J22" i="7" s="1"/>
  <c r="F21" i="7"/>
  <c r="G21" i="7" s="1"/>
  <c r="H21" i="7" s="1"/>
  <c r="I21" i="7" s="1"/>
  <c r="J21" i="7" s="1"/>
  <c r="H20" i="7"/>
  <c r="I20" i="7" s="1"/>
  <c r="J20" i="7" s="1"/>
  <c r="G20" i="7"/>
  <c r="F20" i="7"/>
  <c r="H19" i="7"/>
  <c r="I19" i="7" s="1"/>
  <c r="J19" i="7" s="1"/>
  <c r="F19" i="7"/>
  <c r="G19" i="7" s="1"/>
  <c r="F18" i="7"/>
  <c r="G18" i="7" s="1"/>
  <c r="H18" i="7" s="1"/>
  <c r="I18" i="7" s="1"/>
  <c r="J18" i="7" s="1"/>
  <c r="F17" i="7"/>
  <c r="G17" i="7" s="1"/>
  <c r="H17" i="7" s="1"/>
  <c r="I17" i="7" s="1"/>
  <c r="J17" i="7" s="1"/>
  <c r="H16" i="7"/>
  <c r="I16" i="7" s="1"/>
  <c r="J16" i="7" s="1"/>
  <c r="G16" i="7"/>
  <c r="F16" i="7"/>
  <c r="H15" i="7"/>
  <c r="I15" i="7" s="1"/>
  <c r="J15" i="7" s="1"/>
  <c r="F15" i="7"/>
  <c r="G15" i="7" s="1"/>
  <c r="F14" i="7"/>
  <c r="G14" i="7" s="1"/>
  <c r="H14" i="7" s="1"/>
  <c r="I14" i="7" s="1"/>
  <c r="J14" i="7" s="1"/>
  <c r="F13" i="7"/>
  <c r="G13" i="7" s="1"/>
  <c r="H13" i="7" s="1"/>
  <c r="I13" i="7" s="1"/>
  <c r="J13" i="7" s="1"/>
  <c r="H12" i="7"/>
  <c r="I12" i="7" s="1"/>
  <c r="J12" i="7" s="1"/>
  <c r="G12" i="7"/>
  <c r="F12" i="7"/>
  <c r="H11" i="7"/>
  <c r="I11" i="7" s="1"/>
  <c r="J11" i="7" s="1"/>
  <c r="F11" i="7"/>
  <c r="G11" i="7" s="1"/>
  <c r="F10" i="7"/>
  <c r="G10" i="7" s="1"/>
  <c r="H10" i="7" s="1"/>
  <c r="I10" i="7" s="1"/>
  <c r="J10" i="7" s="1"/>
  <c r="F9" i="7"/>
  <c r="G9" i="7" s="1"/>
  <c r="H9" i="7" s="1"/>
  <c r="I9" i="7" s="1"/>
  <c r="J9" i="7" s="1"/>
  <c r="H8" i="7"/>
  <c r="I8" i="7" s="1"/>
  <c r="J8" i="7" s="1"/>
  <c r="G8" i="7"/>
  <c r="F8" i="7"/>
  <c r="H7" i="7"/>
  <c r="I7" i="7" s="1"/>
  <c r="J7" i="7" s="1"/>
  <c r="F7" i="7"/>
  <c r="G7" i="7" s="1"/>
  <c r="F6" i="7"/>
  <c r="G6" i="7" s="1"/>
  <c r="H6" i="7" s="1"/>
  <c r="I6" i="7" s="1"/>
  <c r="J6" i="7" s="1"/>
  <c r="F5" i="7"/>
  <c r="G5" i="7" s="1"/>
  <c r="H5" i="7" s="1"/>
  <c r="I5" i="7" s="1"/>
  <c r="J5" i="7" s="1"/>
  <c r="I4" i="7"/>
  <c r="J4" i="7" s="1"/>
  <c r="F4" i="7"/>
  <c r="G3" i="7"/>
  <c r="F3" i="7"/>
  <c r="I20" i="1"/>
  <c r="J12" i="1"/>
  <c r="J13" i="1" s="1"/>
  <c r="I18" i="1" s="1"/>
  <c r="J10" i="1"/>
  <c r="J11" i="1" s="1"/>
  <c r="H3" i="7" l="1"/>
  <c r="I3" i="7" s="1"/>
  <c r="J3" i="7" s="1"/>
  <c r="J75" i="7" s="1"/>
  <c r="F75" i="7"/>
  <c r="G4" i="7"/>
  <c r="G75" i="7" s="1"/>
  <c r="H75" i="7" s="1"/>
  <c r="I75" i="7" s="1"/>
  <c r="E14" i="8"/>
  <c r="E15" i="8"/>
  <c r="E16" i="8" s="1"/>
  <c r="E17" i="8" s="1"/>
  <c r="E18" i="8" s="1"/>
  <c r="B22" i="3"/>
  <c r="I19" i="1"/>
  <c r="I27" i="1" s="1"/>
  <c r="B23" i="3"/>
  <c r="B20" i="3"/>
  <c r="B24" i="3" l="1"/>
  <c r="B26" i="3" s="1"/>
  <c r="B28" i="3" s="1"/>
  <c r="J26" i="1" s="1"/>
</calcChain>
</file>

<file path=xl/sharedStrings.xml><?xml version="1.0" encoding="utf-8"?>
<sst xmlns="http://schemas.openxmlformats.org/spreadsheetml/2006/main" count="334" uniqueCount="241">
  <si>
    <t>California Community Colleges</t>
  </si>
  <si>
    <t>Full-Time Faculty Obligation</t>
  </si>
  <si>
    <t>Fall 2021 Compliance Report</t>
  </si>
  <si>
    <t>Date:</t>
  </si>
  <si>
    <t>I.</t>
  </si>
  <si>
    <t>Total Full-Time Equivalent Faculty (FTEF) attributable to full-time faculty</t>
  </si>
  <si>
    <t xml:space="preserve">Total FTEF attributable to part-time faculty </t>
  </si>
  <si>
    <t>II.</t>
  </si>
  <si>
    <t>III.</t>
  </si>
  <si>
    <t xml:space="preserve">Total FTEF </t>
  </si>
  <si>
    <t>IV.</t>
  </si>
  <si>
    <t xml:space="preserve">Full-time faculty as a percentage of total FTEF </t>
  </si>
  <si>
    <t>V.</t>
  </si>
  <si>
    <t>Fall 2021 Full-time faculty obligation</t>
  </si>
  <si>
    <t>Over(Under) full-time faculty obligation</t>
  </si>
  <si>
    <t>VI.</t>
  </si>
  <si>
    <t>Fall 2021 FON Compliance Options</t>
  </si>
  <si>
    <t>Districts must meet at least one of the following compliance options:</t>
  </si>
  <si>
    <t>VII.</t>
  </si>
  <si>
    <t>1. Meet or exceed Fall 2021 full-time faculty obligation</t>
  </si>
  <si>
    <t>2. Meet or exceed Fall 2020 full-time faculty as percentage of total FTEF</t>
  </si>
  <si>
    <t>3. Meet or exceed Fall 2020 full-time faculty obligation</t>
  </si>
  <si>
    <t>VIII.</t>
  </si>
  <si>
    <t>Reported Fall 2020 full-time faculty as percentage of total FTEF</t>
  </si>
  <si>
    <t>Fall 2020 full-time faculty obligation</t>
  </si>
  <si>
    <t>IX.</t>
  </si>
  <si>
    <t>Estimated Penalty</t>
  </si>
  <si>
    <t>To the extent that the required number of full-time faculty have not been retained for a fiscal year, the Chancellor is required to reduce a district's revenue for the fiscal year by an amount equal to the average replacement cost for the fiscal year multiplied by the deficiency in the number of equivalent full-time faculty.</t>
  </si>
  <si>
    <t>The average replacement cost of a full-time faculty for Fall 2021:</t>
  </si>
  <si>
    <t>X.</t>
  </si>
  <si>
    <t>Estimated (DEFERRED) full-time faculty obligation penalty for Fall 2021:</t>
  </si>
  <si>
    <t>XI.</t>
  </si>
  <si>
    <t>If a district has incurred a penalty, the Chancellor's Office will provide further information and issue an invoice to the district, at the same time that Fall 2022 penalty invoices are issued, no later than January 2023.</t>
  </si>
  <si>
    <t xml:space="preserve">Please complete and return this form by November 1, 2021 to fiscalstandards@cccco.edu </t>
  </si>
  <si>
    <t xml:space="preserve">Fall 2020 
Compliance </t>
  </si>
  <si>
    <t>Fall 2020
Reported FON</t>
  </si>
  <si>
    <t>Fall 2021
Advance FON</t>
  </si>
  <si>
    <t>Fall 2021 
P2 FON</t>
  </si>
  <si>
    <t>Fall 2021 
Compliance</t>
  </si>
  <si>
    <t>Allan Hancock</t>
  </si>
  <si>
    <t>Antelope Valley</t>
  </si>
  <si>
    <t>Barstow</t>
  </si>
  <si>
    <t>Butte</t>
  </si>
  <si>
    <t>Cabrillo</t>
  </si>
  <si>
    <t>Cerritos</t>
  </si>
  <si>
    <t>Chabot-Las Positas</t>
  </si>
  <si>
    <t>Chaffey</t>
  </si>
  <si>
    <t>Citrus</t>
  </si>
  <si>
    <t>Coast</t>
  </si>
  <si>
    <t>Compton</t>
  </si>
  <si>
    <t>Contra Costa</t>
  </si>
  <si>
    <t>Desert</t>
  </si>
  <si>
    <t>El Camino</t>
  </si>
  <si>
    <t>Feather River</t>
  </si>
  <si>
    <t>Foothill-DeAnza</t>
  </si>
  <si>
    <t>Gavilan</t>
  </si>
  <si>
    <t>Glendale</t>
  </si>
  <si>
    <t>Grossmont-Cuyamaca</t>
  </si>
  <si>
    <t>Hartnell</t>
  </si>
  <si>
    <t>Imperial</t>
  </si>
  <si>
    <t>Kern</t>
  </si>
  <si>
    <t>Lake Tahoe</t>
  </si>
  <si>
    <t>Lassen</t>
  </si>
  <si>
    <t>Long Beach</t>
  </si>
  <si>
    <t>Los Angeles</t>
  </si>
  <si>
    <t>Los Rios</t>
  </si>
  <si>
    <t>Marin</t>
  </si>
  <si>
    <t>Mendocino-Lake</t>
  </si>
  <si>
    <t>Merced</t>
  </si>
  <si>
    <t>Monterey Peninsula</t>
  </si>
  <si>
    <t>Mt. San Antonio</t>
  </si>
  <si>
    <t>Mt. San Jacinto</t>
  </si>
  <si>
    <t>Napa Valley</t>
  </si>
  <si>
    <t>North Orange County</t>
  </si>
  <si>
    <t>Ohlone</t>
  </si>
  <si>
    <t>Palo Verde</t>
  </si>
  <si>
    <t>Palomar</t>
  </si>
  <si>
    <t>Peralta</t>
  </si>
  <si>
    <t>Rancho Santiago</t>
  </si>
  <si>
    <t>Redwoods</t>
  </si>
  <si>
    <t>Rio Hondo</t>
  </si>
  <si>
    <t>Riverside</t>
  </si>
  <si>
    <t>San Bernardino</t>
  </si>
  <si>
    <t>San Diego</t>
  </si>
  <si>
    <t>San Francisco</t>
  </si>
  <si>
    <t>San Joaquin Delta</t>
  </si>
  <si>
    <t>San Jose-Evergreen</t>
  </si>
  <si>
    <t>San Luis Obispo</t>
  </si>
  <si>
    <t>San Mateo</t>
  </si>
  <si>
    <t>Santa Barbara</t>
  </si>
  <si>
    <t>Santa Clarita</t>
  </si>
  <si>
    <t>Santa Monica</t>
  </si>
  <si>
    <t>Sequoias</t>
  </si>
  <si>
    <t>Shasta-Tehama-Trinity</t>
  </si>
  <si>
    <t>Sierra</t>
  </si>
  <si>
    <t>Solano</t>
  </si>
  <si>
    <t>Southwestern</t>
  </si>
  <si>
    <t>State Center</t>
  </si>
  <si>
    <t>Ventura</t>
  </si>
  <si>
    <t>Victor Valley</t>
  </si>
  <si>
    <t>West Hills</t>
  </si>
  <si>
    <t>West Kern</t>
  </si>
  <si>
    <t>West Valley-Mission</t>
  </si>
  <si>
    <t>Yosemite</t>
  </si>
  <si>
    <t>Yuba</t>
  </si>
  <si>
    <t>vlookup formula  1</t>
  </si>
  <si>
    <t>July 2021</t>
  </si>
  <si>
    <t>A.</t>
  </si>
  <si>
    <t>Full-time Faculty Cost</t>
  </si>
  <si>
    <t>Average Annual Salary per FTF Fall 2019</t>
  </si>
  <si>
    <t>Optional Benefits and mandatory contributions @25%</t>
  </si>
  <si>
    <t>Total Compensation</t>
  </si>
  <si>
    <t>B.</t>
  </si>
  <si>
    <t>Part-time Faculty Offset</t>
  </si>
  <si>
    <t>Average PT faculty hourly rate for Fall 2019</t>
  </si>
  <si>
    <t>(calculated using FTEF for credit and noncredit)</t>
  </si>
  <si>
    <t>PT faculty workload equivalent</t>
  </si>
  <si>
    <t>(15WFCH per week x 35 weeks x $xxx WFCH)</t>
  </si>
  <si>
    <t>Part-time faculty mandatory contributions</t>
  </si>
  <si>
    <t>Social security/retirement, 7.65%</t>
  </si>
  <si>
    <t>Unemployment insurance, 1.5%</t>
  </si>
  <si>
    <t>Employment training,.1%</t>
  </si>
  <si>
    <t>Worker's Compensation, 1.5%</t>
  </si>
  <si>
    <t>Total cost of mandatory contributions  10.75%</t>
  </si>
  <si>
    <t>Total Part-time faculty cost</t>
  </si>
  <si>
    <t>Replacement Cost (A-B)</t>
  </si>
  <si>
    <t>District Contact Information:</t>
  </si>
  <si>
    <t>Name:</t>
  </si>
  <si>
    <t>Email:</t>
  </si>
  <si>
    <t>Phone(s):</t>
  </si>
  <si>
    <t>District Chief Executive Officer:</t>
  </si>
  <si>
    <t>I hereby certify that the information above is true and correct to the best of my knowledge.</t>
  </si>
  <si>
    <t>Name &amp; Title:</t>
  </si>
  <si>
    <t>Instructions/Notes</t>
  </si>
  <si>
    <t>DISTRICT:</t>
  </si>
  <si>
    <t>DATE:</t>
  </si>
  <si>
    <t>Select district from dropdown menu</t>
  </si>
  <si>
    <t>Enter date</t>
  </si>
  <si>
    <t>Enter amount of "Total full-time equivalent faculty (FTEF) attributable to instructional and noninstructional Full-Time Faculty" based on Title 5 Sections 53302 and 53309</t>
  </si>
  <si>
    <t>Enter amount of "Total FTEF attributable to instructional and noninstructional Part-Time Faculty" based on Title 5 Sections 53301 and 53310</t>
  </si>
  <si>
    <t>ß</t>
  </si>
  <si>
    <r>
      <t xml:space="preserve">Total of line I. plus II. </t>
    </r>
    <r>
      <rPr>
        <i/>
        <sz val="11"/>
        <color theme="1"/>
        <rFont val="Source Sans Pro"/>
        <family val="2"/>
      </rPr>
      <t>(automatically calculates)</t>
    </r>
  </si>
  <si>
    <t>=</t>
  </si>
  <si>
    <r>
      <t>Total of line I. divided by III. If district reported % (line IV.) is greater than or equal to Fall 2020 % (line VIII.), then district is in compliance. If not penalty may appear on line XI. (</t>
    </r>
    <r>
      <rPr>
        <i/>
        <sz val="11"/>
        <color theme="1"/>
        <rFont val="Source Sans Pro"/>
        <family val="2"/>
      </rPr>
      <t>automatically calculates</t>
    </r>
    <r>
      <rPr>
        <sz val="11"/>
        <color theme="1"/>
        <rFont val="Source Sans Pro"/>
        <family val="2"/>
      </rPr>
      <t>)</t>
    </r>
  </si>
  <si>
    <r>
      <t xml:space="preserve">Fall 2021 Full-Time Faculty Obligation (from “Fall 2021 Compliance FON” on "Fall 2021 Compliance" tab) </t>
    </r>
    <r>
      <rPr>
        <i/>
        <sz val="11"/>
        <color theme="1"/>
        <rFont val="Source Sans Pro"/>
        <family val="2"/>
      </rPr>
      <t>(automatically populates)</t>
    </r>
  </si>
  <si>
    <r>
      <t xml:space="preserve">Line I. less V. If amount is less than zero, a penalty amount may appear on line XI. </t>
    </r>
    <r>
      <rPr>
        <i/>
        <sz val="11"/>
        <color theme="1"/>
        <rFont val="Source Sans Pro"/>
        <family val="2"/>
      </rPr>
      <t>(automatically calculates)</t>
    </r>
  </si>
  <si>
    <r>
      <t xml:space="preserve">Line IV. &gt;= VIII. </t>
    </r>
    <r>
      <rPr>
        <i/>
        <sz val="11"/>
        <color theme="1"/>
        <rFont val="Source Sans Pro"/>
        <family val="2"/>
      </rPr>
      <t>(automatically checks compliance)</t>
    </r>
  </si>
  <si>
    <r>
      <t xml:space="preserve">Line I. &gt;= IX. </t>
    </r>
    <r>
      <rPr>
        <i/>
        <sz val="11"/>
        <color theme="1"/>
        <rFont val="Source Sans Pro"/>
        <family val="2"/>
      </rPr>
      <t>(automatically checks compliance)</t>
    </r>
  </si>
  <si>
    <r>
      <t xml:space="preserve">Line I. &gt;= V. (aka Line VI. &gt;= 0) </t>
    </r>
    <r>
      <rPr>
        <i/>
        <sz val="11"/>
        <color theme="1"/>
        <rFont val="Source Sans Pro"/>
        <family val="2"/>
      </rPr>
      <t>(automatically checks compliance)</t>
    </r>
  </si>
  <si>
    <r>
      <t xml:space="preserve">"Fall 2020 FT Percentage" from Fall 2021 Compliance tab. </t>
    </r>
    <r>
      <rPr>
        <i/>
        <sz val="11"/>
        <color theme="1"/>
        <rFont val="Source Sans Pro"/>
        <family val="2"/>
      </rPr>
      <t>(automatically populates)</t>
    </r>
  </si>
  <si>
    <r>
      <t xml:space="preserve">"Fall 2020 Compliance" from Fall 2021 Compliance tab </t>
    </r>
    <r>
      <rPr>
        <i/>
        <sz val="11"/>
        <color theme="1"/>
        <rFont val="Source Sans Pro"/>
        <family val="2"/>
      </rPr>
      <t>(automatically populates)</t>
    </r>
  </si>
  <si>
    <r>
      <t xml:space="preserve">From Replacement Cost tab </t>
    </r>
    <r>
      <rPr>
        <i/>
        <sz val="11"/>
        <color theme="1"/>
        <rFont val="Source Sans Pro"/>
        <family val="2"/>
      </rPr>
      <t>(automatically populates)</t>
    </r>
  </si>
  <si>
    <r>
      <t xml:space="preserve">If none of the three compliance tests are met, penalty will be assessed. (Negative value on line VI. times line IX. average replacement cost) </t>
    </r>
    <r>
      <rPr>
        <i/>
        <sz val="11"/>
        <color theme="1"/>
        <rFont val="Source Sans Pro"/>
        <family val="2"/>
      </rPr>
      <t>(automatically calculates)</t>
    </r>
  </si>
  <si>
    <t xml:space="preserve">Send to the Chancellor's Office the digitally signed pdf. If you need assistance, please reach out to our office. </t>
  </si>
  <si>
    <t>* Digital Signature:</t>
  </si>
  <si>
    <t>*</t>
  </si>
  <si>
    <t>Once filled out, convert form into PDF. (Click on File, then Save as Adobe PDF).  Then sign digitally.</t>
  </si>
  <si>
    <t>The Board of Governors, at their November 2020 meeting, did not fully implement the FON for Fall 2021.  Therefore, districts may meet one of three compliance options for Fall 2021, and any penalty incurred will be deferred to the following year.</t>
  </si>
  <si>
    <t>Calculated in this spreadsheet.</t>
  </si>
  <si>
    <t>The FTES adjustment is the Increase or decrease to FON due to change in FTES  
= (Percent Change * Base FON) rounded down to nearest whole number.</t>
  </si>
  <si>
    <t>FTES Adjustment</t>
  </si>
  <si>
    <t>Percent Change (Change in FTES/Base Credit FTES)</t>
  </si>
  <si>
    <t>This column reflects the difference between the prior and current year estimated FTES.
Change in FTES from Prior Year 
= (Adjusted Funded Credit FTES - Base Credit FTES)</t>
  </si>
  <si>
    <t>Change in FTES Growth/(Decline)</t>
  </si>
  <si>
    <t>Adjustment to reflect that statewide Total Computational Revenue is estimated as not fully funded.
For apportionments, the deficit factor is applied to the dollar amount of funding (FTES x funding rate).  For the purposes of calculating the FON, we apply the deficit factor directly to the number of FTES. 
= (Funded Credit FTES x (1- Deficit Percentage))</t>
  </si>
  <si>
    <t>Funded Credit FTEs adjusted for Deficit Percentage</t>
  </si>
  <si>
    <t>2020-21 P2 Revenue Deficit Percentage</t>
  </si>
  <si>
    <t xml:space="preserve">Applies if state funding is insufficient to fully fund Total Computational Revenue.  </t>
  </si>
  <si>
    <t>Deficit Percentage</t>
  </si>
  <si>
    <t xml:space="preserve">Funded Credit FTES =  
2020-21 P2 Funded Credit FTES
 Exhibit C, Section 1a: FTES Data and Calculations, column i, "2020-21 Funded", total of Credit + Special Admit Credit + Incarcerated Credit.  </t>
  </si>
  <si>
    <t>Funded Credit FTES</t>
  </si>
  <si>
    <t xml:space="preserve">Prior year actual funded credit FTES as of most recent apportionment report. Updated at each apportionment cycle and finalized at apportionment recalculation. </t>
  </si>
  <si>
    <t>Base Credit FTES</t>
  </si>
  <si>
    <t xml:space="preserve">2019-20 R1 FON </t>
  </si>
  <si>
    <t>Prior year FON as calculated per actual funded credit FTES.  Updated at each apportionment cycle and finalized at apportionment recalculation.</t>
  </si>
  <si>
    <t xml:space="preserve">Base FON </t>
  </si>
  <si>
    <t>Source</t>
  </si>
  <si>
    <t>Definition</t>
  </si>
  <si>
    <t>Column</t>
  </si>
  <si>
    <t>Definitions</t>
  </si>
  <si>
    <t>Estimated R1 FON</t>
  </si>
  <si>
    <t>(i = a + h)</t>
  </si>
  <si>
    <t>FTES adjustment</t>
  </si>
  <si>
    <t>(h = a*g)</t>
  </si>
  <si>
    <t>Percent change in FTES</t>
  </si>
  <si>
    <t>(g = f/b)</t>
  </si>
  <si>
    <t>Change in FTES</t>
  </si>
  <si>
    <t>(f = e-b)</t>
  </si>
  <si>
    <t>Funded credit FTES adjusted for deficit factor</t>
  </si>
  <si>
    <t>(e = c*d)</t>
  </si>
  <si>
    <t>(1-deficit factor)</t>
  </si>
  <si>
    <t>(d)</t>
  </si>
  <si>
    <t>&lt;-- Automatically populates from your estimate in Cell E5 above</t>
  </si>
  <si>
    <t>Funded credit FTES</t>
  </si>
  <si>
    <t>(c)</t>
  </si>
  <si>
    <t xml:space="preserve">&lt;-- Automatically populates from Tab "Fall 2021 P2 FON" </t>
  </si>
  <si>
    <t xml:space="preserve">Base credit FTES </t>
  </si>
  <si>
    <t>(b)</t>
  </si>
  <si>
    <t>Base FON</t>
  </si>
  <si>
    <t>(a)</t>
  </si>
  <si>
    <t>Estimated Fall 2021 R1 FON</t>
  </si>
  <si>
    <t>&lt;-- Input your estimated deficit factor</t>
  </si>
  <si>
    <t>Deficit Factor</t>
  </si>
  <si>
    <t>&lt;-- Input your estimate of total of  3 year average Credit + Special Admit Credit + Incarcerated Credit</t>
  </si>
  <si>
    <t>R1 Three Year Average Funded Credit FTES</t>
  </si>
  <si>
    <t>Estimates</t>
  </si>
  <si>
    <t>&lt;-- Select district from dropdown menu</t>
  </si>
  <si>
    <t>District</t>
  </si>
  <si>
    <t>Fall 2021 Compliance FON</t>
  </si>
  <si>
    <t>Copper Mt.</t>
  </si>
  <si>
    <t>Mira Costa</t>
  </si>
  <si>
    <t>Pasadena Area</t>
  </si>
  <si>
    <t>Siskiyou</t>
  </si>
  <si>
    <t>Sonoma County</t>
  </si>
  <si>
    <t>South Orange</t>
  </si>
  <si>
    <t>Total</t>
  </si>
  <si>
    <t xml:space="preserve">  16,157.3  </t>
  </si>
  <si>
    <t xml:space="preserve">  18,983.4  </t>
  </si>
  <si>
    <t xml:space="preserve">  15,977.3  </t>
  </si>
  <si>
    <t xml:space="preserve">  17,271.3  </t>
  </si>
  <si>
    <t xml:space="preserve">  15,976.3  </t>
  </si>
  <si>
    <t>Fall 2020 
FT Percentage</t>
  </si>
  <si>
    <t>Fall 2021 P2
FON 
(i = a + h )</t>
  </si>
  <si>
    <t>FTES Adjustment
(h = a*g)</t>
  </si>
  <si>
    <t>Percent Change 
(Change in FTES/Base Credit FTES)
(g = f/b)</t>
  </si>
  <si>
    <t>Change in FTES 
Growth (Decline)
(f = e-b)</t>
  </si>
  <si>
    <t>Funded Credit FTES adjusted for Deficit Percentage
(e = c*(1-d))</t>
  </si>
  <si>
    <t>2020-21  P2
Deficit Percentage
(d)</t>
  </si>
  <si>
    <t>Funded Credit FTES:
(2020-21 P2 Funded Credit FTES)
(c )</t>
  </si>
  <si>
    <t>Base Credit FTES: 
2019-20 R1 Funded Credit FTES
(b)</t>
  </si>
  <si>
    <t>Base FON:
(2019-20 R1 FON)
(a)</t>
  </si>
  <si>
    <t>Fall 2021 P2 FON</t>
  </si>
  <si>
    <t xml:space="preserve">Current Year funded credit FTES as of most recent apportionment cycle.  Updated at each apportionment cycle and finalized at apportionment recalculation. </t>
  </si>
  <si>
    <t>Statewide Average Replacement Cost 2020-21</t>
  </si>
  <si>
    <t>59.4%</t>
  </si>
  <si>
    <t xml:space="preserve">Fall 2021 R1 FON Estimator Tool </t>
  </si>
  <si>
    <t>&lt;-- Helps calculate an estimate for future Fall 2021 R1</t>
  </si>
  <si>
    <t>Funded Credit FTES includes adjusted deficit percentage
 Exhibit C, Section 1a: FTES Data and Calculations, column i, "2019-20 Funded", total of Credit + Special Admit Credit + Incarcerated Credit multiplied by 2019-20 R1 deficit percentage</t>
  </si>
  <si>
    <t>The percent change in FTES from prior year to current year.
= (Change in FTES/Base Credit FTES)</t>
  </si>
  <si>
    <t xml:space="preserve">The full-time faculty replacement cost per AB 1725 is illustrated below.  
</t>
  </si>
  <si>
    <t>Source: This estimate is based upon staffing and salaries data for Fall 2020 provided by the Chancellor’s Office Information Technology Division.
Link: https://datamart.cccco.edu/Faculty-Staff/Staff_Annual.aspx)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</si>
</sst>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0_);_(* \(#,##0.0\);_(* &quot;-&quot;??_);_(@_)"/>
    <numFmt numFmtId="165" formatCode="[$-409]mmmm\ d\,\ yyyy;@"/>
    <numFmt numFmtId="166" formatCode="0.0%"/>
    <numFmt numFmtId="167" formatCode="0.0"/>
    <numFmt numFmtId="168" formatCode="_([$$-409]* #,##0.00_);_([$$-409]* \(#,##0.00\);_([$$-409]* &quot;-&quot;??_);_(@_)"/>
    <numFmt numFmtId="169" formatCode="_(&quot;$&quot;* #,##0_);_(&quot;$&quot;* \(#,##0\);_(&quot;$&quot;* &quot;-&quot;??_);_(@_)"/>
    <numFmt numFmtId="170" formatCode="[&lt;=9999999]###\-####;\(###\)\ ###\-####"/>
    <numFmt numFmtId="171" formatCode="0.0000%"/>
    <numFmt numFmtId="172" formatCode="#,##0.0"/>
    <numFmt numFmtId="173" formatCode="_(* #,##0.00_);_(* \(#,##0.00\);_(* &quot;-&quot;_);_(@_)"/>
  </numFmts>
  <fonts count="25">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sz val="11"/>
      <color rgb="FF3F3F76"/>
      <name val="Calibri"/>
      <family val="2"/>
      <scheme val="minor"/>
    </font>
    <font>
      <sz val="11"/>
      <color theme="1"/>
      <name val="Source Sans Pro"/>
      <family val="2"/>
    </font>
    <font>
      <sz val="10"/>
      <name val="Arial"/>
      <family val="2"/>
    </font>
    <font>
      <sz val="12"/>
      <name val="Source Sans Pro"/>
      <family val="2"/>
    </font>
    <font>
      <i/>
      <sz val="11"/>
      <color rgb="FF7F7F7F"/>
      <name val="Source Sans Pro"/>
      <family val="2"/>
    </font>
    <font>
      <b/>
      <sz val="11"/>
      <color theme="1"/>
      <name val="Source Sans Pro"/>
      <family val="2"/>
    </font>
    <font>
      <sz val="14"/>
      <color theme="1"/>
      <name val="Source Sans Pro"/>
      <family val="2"/>
    </font>
    <font>
      <sz val="12"/>
      <color theme="1"/>
      <name val="Source Sans Pro"/>
      <family val="2"/>
    </font>
    <font>
      <sz val="11"/>
      <color rgb="FF002F6D"/>
      <name val="Source Sans Pro"/>
      <family val="2"/>
    </font>
    <font>
      <b/>
      <u/>
      <sz val="11"/>
      <color theme="1"/>
      <name val="Source Sans Pro"/>
      <family val="2"/>
    </font>
    <font>
      <sz val="11"/>
      <color rgb="FF002F6D"/>
      <name val="Wingdings"/>
      <charset val="2"/>
    </font>
    <font>
      <i/>
      <sz val="11"/>
      <color theme="1"/>
      <name val="Source Sans Pro"/>
      <family val="2"/>
    </font>
    <font>
      <b/>
      <sz val="14"/>
      <color rgb="FF002F6D"/>
      <name val="Source Sans Pro"/>
      <family val="2"/>
    </font>
    <font>
      <sz val="11"/>
      <name val="Source Sans Pro"/>
      <family val="2"/>
    </font>
    <font>
      <b/>
      <sz val="11"/>
      <name val="Source Sans Pro"/>
      <family val="2"/>
    </font>
    <font>
      <b/>
      <sz val="15"/>
      <color rgb="FF002F6D"/>
      <name val="Crimson"/>
      <family val="1"/>
    </font>
    <font>
      <b/>
      <sz val="11"/>
      <color theme="0"/>
      <name val="Source Sans Pro"/>
      <family val="2"/>
    </font>
    <font>
      <b/>
      <sz val="14"/>
      <color theme="1"/>
      <name val="Crimson"/>
      <family val="1"/>
    </font>
    <font>
      <b/>
      <sz val="18"/>
      <color rgb="FF002F6D"/>
      <name val="Crimson"/>
      <family val="1"/>
    </font>
    <font>
      <sz val="11"/>
      <name val="Source Sans Pro"/>
      <family val="2"/>
    </font>
    <font>
      <b/>
      <sz val="12"/>
      <color theme="1"/>
      <name val="Source Sans Pro"/>
      <family val="2"/>
    </font>
  </fonts>
  <fills count="8">
    <fill>
      <patternFill patternType="none"/>
    </fill>
    <fill>
      <patternFill patternType="gray125"/>
    </fill>
    <fill>
      <patternFill patternType="solid">
        <fgColor rgb="FFFFCC99"/>
      </patternFill>
    </fill>
    <fill>
      <patternFill patternType="solid">
        <fgColor theme="0"/>
        <bgColor indexed="64"/>
      </patternFill>
    </fill>
    <fill>
      <patternFill patternType="solid">
        <fgColor theme="0" tint="-0.14999847407452621"/>
        <bgColor indexed="64"/>
      </patternFill>
    </fill>
    <fill>
      <patternFill patternType="solid">
        <fgColor rgb="FF0066BA"/>
        <bgColor indexed="64"/>
      </patternFill>
    </fill>
    <fill>
      <patternFill patternType="solid">
        <fgColor theme="2"/>
        <bgColor indexed="64"/>
      </patternFill>
    </fill>
    <fill>
      <patternFill patternType="solid">
        <fgColor theme="6" tint="0.79998168889431442"/>
        <bgColor theme="6" tint="0.79998168889431442"/>
      </patternFill>
    </fill>
  </fills>
  <borders count="23">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style="thin">
        <color auto="1"/>
      </top>
      <bottom style="thin">
        <color auto="1"/>
      </bottom>
      <diagonal/>
    </border>
    <border>
      <left style="thin">
        <color indexed="64"/>
      </left>
      <right style="thin">
        <color indexed="64"/>
      </right>
      <top style="thin">
        <color indexed="64"/>
      </top>
      <bottom/>
      <diagonal/>
    </border>
    <border>
      <left/>
      <right/>
      <top style="thin">
        <color auto="1"/>
      </top>
      <bottom style="double">
        <color indexed="64"/>
      </bottom>
      <diagonal/>
    </border>
    <border>
      <left/>
      <right/>
      <top/>
      <bottom style="thin">
        <color auto="1"/>
      </bottom>
      <diagonal/>
    </border>
    <border>
      <left style="thin">
        <color indexed="64"/>
      </left>
      <right/>
      <top style="thin">
        <color indexed="64"/>
      </top>
      <bottom style="thin">
        <color indexed="64"/>
      </bottom>
      <diagonal/>
    </border>
    <border>
      <left/>
      <right/>
      <top style="dashed">
        <color auto="1"/>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0">
    <xf numFmtId="0" fontId="0" fillId="0" borderId="0"/>
    <xf numFmtId="43"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6" fillId="0" borderId="0"/>
  </cellStyleXfs>
  <cellXfs count="160">
    <xf numFmtId="0" fontId="0" fillId="0" borderId="0" xfId="0"/>
    <xf numFmtId="0" fontId="7" fillId="3" borderId="0" xfId="9" applyFont="1" applyFill="1"/>
    <xf numFmtId="0" fontId="7" fillId="0" borderId="0" xfId="9" applyFont="1"/>
    <xf numFmtId="41" fontId="8" fillId="0" borderId="0" xfId="2" applyFont="1"/>
    <xf numFmtId="14" fontId="2" fillId="3" borderId="0" xfId="6" quotePrefix="1" applyNumberFormat="1" applyFill="1" applyAlignment="1">
      <alignment horizontal="right"/>
    </xf>
    <xf numFmtId="0" fontId="0" fillId="3" borderId="0" xfId="0" applyFill="1"/>
    <xf numFmtId="0" fontId="0" fillId="0" borderId="0" xfId="0" applyAlignment="1">
      <alignment horizontal="right"/>
    </xf>
    <xf numFmtId="43" fontId="0" fillId="0" borderId="0" xfId="1" applyFont="1"/>
    <xf numFmtId="164" fontId="12" fillId="4" borderId="3" xfId="1" applyNumberFormat="1" applyFont="1" applyFill="1" applyBorder="1" applyProtection="1">
      <protection locked="0"/>
    </xf>
    <xf numFmtId="164" fontId="12" fillId="4" borderId="8" xfId="1" applyNumberFormat="1" applyFont="1" applyFill="1" applyBorder="1" applyProtection="1">
      <protection locked="0"/>
    </xf>
    <xf numFmtId="0" fontId="5" fillId="3" borderId="0" xfId="0" applyFont="1" applyFill="1" applyProtection="1">
      <protection locked="0"/>
    </xf>
    <xf numFmtId="0" fontId="5" fillId="3" borderId="12" xfId="0" applyFont="1" applyFill="1" applyBorder="1" applyProtection="1">
      <protection locked="0"/>
    </xf>
    <xf numFmtId="0" fontId="5" fillId="3" borderId="6" xfId="0" applyFont="1" applyFill="1" applyBorder="1" applyAlignment="1" applyProtection="1">
      <alignment horizontal="right"/>
      <protection locked="0"/>
    </xf>
    <xf numFmtId="0" fontId="5" fillId="4" borderId="0" xfId="0" applyFont="1" applyFill="1" applyProtection="1"/>
    <xf numFmtId="0" fontId="13" fillId="4" borderId="0" xfId="0" applyFont="1" applyFill="1" applyProtection="1"/>
    <xf numFmtId="0" fontId="5" fillId="3" borderId="0" xfId="0" applyFont="1" applyFill="1" applyProtection="1"/>
    <xf numFmtId="0" fontId="9" fillId="3" borderId="0" xfId="0" applyFont="1" applyFill="1" applyProtection="1"/>
    <xf numFmtId="0" fontId="14" fillId="4" borderId="0" xfId="0" applyFont="1" applyFill="1" applyProtection="1"/>
    <xf numFmtId="0" fontId="5" fillId="3" borderId="0" xfId="0" applyFont="1" applyFill="1" applyAlignment="1" applyProtection="1">
      <alignment horizontal="right"/>
    </xf>
    <xf numFmtId="0" fontId="5" fillId="3" borderId="0" xfId="0" applyFont="1" applyFill="1" applyAlignment="1" applyProtection="1">
      <alignment horizontal="left" indent="1"/>
    </xf>
    <xf numFmtId="164" fontId="5" fillId="3" borderId="9" xfId="1" applyNumberFormat="1" applyFont="1" applyFill="1" applyBorder="1" applyProtection="1"/>
    <xf numFmtId="0" fontId="5" fillId="4" borderId="0" xfId="0" quotePrefix="1" applyFont="1" applyFill="1" applyAlignment="1" applyProtection="1">
      <alignment horizontal="center"/>
    </xf>
    <xf numFmtId="0" fontId="5" fillId="4" borderId="0" xfId="0" quotePrefix="1" applyFont="1" applyFill="1" applyProtection="1"/>
    <xf numFmtId="166" fontId="5" fillId="3" borderId="10" xfId="5" applyNumberFormat="1" applyFont="1" applyFill="1" applyBorder="1" applyProtection="1"/>
    <xf numFmtId="167" fontId="5" fillId="3" borderId="7" xfId="0" applyNumberFormat="1" applyFont="1" applyFill="1" applyBorder="1" applyProtection="1"/>
    <xf numFmtId="164" fontId="17" fillId="3" borderId="7" xfId="0" applyNumberFormat="1" applyFont="1" applyFill="1" applyBorder="1" applyProtection="1"/>
    <xf numFmtId="0" fontId="5" fillId="3" borderId="0" xfId="0" quotePrefix="1" applyFont="1" applyFill="1" applyAlignment="1" applyProtection="1">
      <alignment horizontal="left" indent="1"/>
    </xf>
    <xf numFmtId="0" fontId="5" fillId="3" borderId="0" xfId="0" applyFont="1" applyFill="1" applyBorder="1" applyProtection="1"/>
    <xf numFmtId="42" fontId="11" fillId="3" borderId="10" xfId="4" applyFont="1" applyFill="1" applyBorder="1" applyAlignment="1" applyProtection="1"/>
    <xf numFmtId="0" fontId="9" fillId="3" borderId="12" xfId="0" applyFont="1" applyFill="1" applyBorder="1" applyProtection="1"/>
    <xf numFmtId="0" fontId="5" fillId="3" borderId="12" xfId="0" applyFont="1" applyFill="1" applyBorder="1" applyProtection="1"/>
    <xf numFmtId="0" fontId="5" fillId="3" borderId="0" xfId="0" applyFont="1" applyFill="1" applyAlignment="1" applyProtection="1">
      <alignment vertical="top"/>
    </xf>
    <xf numFmtId="0" fontId="10" fillId="4" borderId="0" xfId="0" quotePrefix="1" applyFont="1" applyFill="1" applyAlignment="1" applyProtection="1">
      <alignment horizontal="right"/>
    </xf>
    <xf numFmtId="0" fontId="5" fillId="0" borderId="0" xfId="0" applyFont="1" applyProtection="1">
      <protection locked="0"/>
    </xf>
    <xf numFmtId="0" fontId="5" fillId="0" borderId="0" xfId="0" applyFont="1" applyAlignment="1" applyProtection="1">
      <alignment wrapText="1"/>
      <protection locked="0"/>
    </xf>
    <xf numFmtId="0" fontId="9" fillId="0" borderId="0" xfId="0" applyFont="1" applyAlignment="1" applyProtection="1">
      <alignment vertical="top" wrapText="1"/>
      <protection locked="0"/>
    </xf>
    <xf numFmtId="0" fontId="5" fillId="0" borderId="0" xfId="0" applyFont="1" applyBorder="1" applyAlignment="1" applyProtection="1">
      <alignment vertical="center" wrapText="1"/>
      <protection locked="0"/>
    </xf>
    <xf numFmtId="0" fontId="9" fillId="0" borderId="0" xfId="0" applyFont="1" applyBorder="1" applyAlignment="1" applyProtection="1">
      <alignment vertical="top" wrapText="1"/>
      <protection locked="0"/>
    </xf>
    <xf numFmtId="0" fontId="5" fillId="0" borderId="0" xfId="0" applyFont="1" applyBorder="1" applyProtection="1">
      <protection locked="0"/>
    </xf>
    <xf numFmtId="0" fontId="5" fillId="0" borderId="3" xfId="0" applyFont="1" applyBorder="1" applyAlignment="1" applyProtection="1">
      <alignment horizontal="left" vertical="center" wrapText="1"/>
    </xf>
    <xf numFmtId="0" fontId="9" fillId="0" borderId="3" xfId="0" applyFont="1" applyBorder="1" applyAlignment="1" applyProtection="1">
      <alignment horizontal="left" vertical="top" wrapText="1"/>
    </xf>
    <xf numFmtId="0" fontId="5" fillId="0" borderId="0" xfId="0" applyFont="1" applyProtection="1"/>
    <xf numFmtId="0" fontId="5" fillId="0" borderId="0" xfId="0" applyFont="1" applyAlignment="1" applyProtection="1">
      <alignment horizontal="center"/>
      <protection locked="0"/>
    </xf>
    <xf numFmtId="0" fontId="20" fillId="5" borderId="13" xfId="0" applyFont="1" applyFill="1" applyBorder="1" applyAlignment="1" applyProtection="1">
      <alignment horizontal="center" wrapText="1"/>
    </xf>
    <xf numFmtId="0" fontId="20" fillId="5" borderId="14" xfId="0" applyFont="1" applyFill="1" applyBorder="1" applyAlignment="1" applyProtection="1">
      <alignment horizontal="center" wrapText="1"/>
    </xf>
    <xf numFmtId="0" fontId="20" fillId="5" borderId="14" xfId="0" applyFont="1" applyFill="1" applyBorder="1" applyAlignment="1" applyProtection="1">
      <alignment horizontal="center" vertical="top" wrapText="1"/>
    </xf>
    <xf numFmtId="0" fontId="5" fillId="0" borderId="0" xfId="0" applyFont="1" applyAlignment="1" applyProtection="1">
      <alignment horizontal="center"/>
    </xf>
    <xf numFmtId="0" fontId="5" fillId="0" borderId="0" xfId="0" applyFont="1" applyAlignment="1" applyProtection="1">
      <alignment wrapText="1"/>
    </xf>
    <xf numFmtId="0" fontId="9" fillId="0" borderId="0" xfId="0" applyFont="1" applyAlignment="1" applyProtection="1">
      <alignment vertical="top" wrapText="1"/>
    </xf>
    <xf numFmtId="0" fontId="21" fillId="0" borderId="0" xfId="0" applyFont="1" applyAlignment="1" applyProtection="1">
      <alignment vertical="center" wrapText="1"/>
    </xf>
    <xf numFmtId="0" fontId="5" fillId="0" borderId="0" xfId="0" applyFont="1"/>
    <xf numFmtId="0" fontId="5" fillId="0" borderId="0" xfId="0" applyFont="1" applyAlignment="1">
      <alignment horizontal="right"/>
    </xf>
    <xf numFmtId="0" fontId="5" fillId="0" borderId="0" xfId="0" applyFont="1" applyBorder="1"/>
    <xf numFmtId="0" fontId="5" fillId="0" borderId="0" xfId="0" applyFont="1" applyBorder="1" applyAlignment="1">
      <alignment horizontal="right"/>
    </xf>
    <xf numFmtId="4" fontId="5" fillId="6" borderId="0" xfId="0" applyNumberFormat="1" applyFont="1" applyFill="1" applyBorder="1" applyAlignment="1" applyProtection="1">
      <alignment horizontal="right"/>
    </xf>
    <xf numFmtId="0" fontId="5" fillId="6" borderId="0" xfId="0" applyFont="1" applyFill="1" applyBorder="1" applyProtection="1"/>
    <xf numFmtId="0" fontId="5" fillId="6" borderId="0" xfId="0" applyFont="1" applyFill="1" applyBorder="1" applyAlignment="1" applyProtection="1">
      <alignment horizontal="right"/>
    </xf>
    <xf numFmtId="10" fontId="5" fillId="6" borderId="0" xfId="5" applyNumberFormat="1" applyFont="1" applyFill="1" applyBorder="1" applyAlignment="1" applyProtection="1">
      <alignment horizontal="right"/>
    </xf>
    <xf numFmtId="39" fontId="5" fillId="6" borderId="0" xfId="1" applyNumberFormat="1" applyFont="1" applyFill="1" applyBorder="1" applyAlignment="1" applyProtection="1">
      <alignment horizontal="right"/>
    </xf>
    <xf numFmtId="10" fontId="5" fillId="6" borderId="0" xfId="0" applyNumberFormat="1" applyFont="1" applyFill="1" applyBorder="1" applyAlignment="1" applyProtection="1">
      <alignment horizontal="right"/>
    </xf>
    <xf numFmtId="4" fontId="5" fillId="6" borderId="0" xfId="1" applyNumberFormat="1" applyFont="1" applyFill="1" applyBorder="1" applyAlignment="1" applyProtection="1">
      <alignment horizontal="right"/>
    </xf>
    <xf numFmtId="0" fontId="5" fillId="0" borderId="0" xfId="0" applyFont="1" applyFill="1" applyBorder="1"/>
    <xf numFmtId="0" fontId="9" fillId="6" borderId="0" xfId="0" applyFont="1" applyFill="1" applyBorder="1" applyProtection="1"/>
    <xf numFmtId="171" fontId="4" fillId="2" borderId="2" xfId="8" applyNumberFormat="1" applyAlignment="1" applyProtection="1">
      <alignment horizontal="right"/>
      <protection locked="0"/>
    </xf>
    <xf numFmtId="39" fontId="4" fillId="2" borderId="2" xfId="8" applyNumberFormat="1" applyAlignment="1" applyProtection="1">
      <alignment horizontal="right"/>
      <protection locked="0"/>
    </xf>
    <xf numFmtId="0" fontId="5" fillId="3" borderId="0" xfId="0" applyFont="1" applyFill="1" applyBorder="1" applyProtection="1">
      <protection locked="0"/>
    </xf>
    <xf numFmtId="0" fontId="5" fillId="3" borderId="0" xfId="0" applyFont="1" applyFill="1" applyBorder="1"/>
    <xf numFmtId="0" fontId="5" fillId="0" borderId="0" xfId="0" applyFont="1" applyFill="1"/>
    <xf numFmtId="0" fontId="9" fillId="0" borderId="0" xfId="0" applyFont="1" applyFill="1"/>
    <xf numFmtId="0" fontId="9" fillId="0" borderId="0" xfId="0" applyFont="1" applyAlignment="1">
      <alignment horizontal="center" wrapText="1"/>
    </xf>
    <xf numFmtId="0" fontId="20" fillId="5" borderId="0" xfId="0" applyFont="1" applyFill="1" applyBorder="1" applyAlignment="1">
      <alignment horizontal="center" wrapText="1"/>
    </xf>
    <xf numFmtId="3" fontId="17" fillId="0" borderId="15" xfId="0" applyNumberFormat="1" applyFont="1" applyFill="1" applyBorder="1"/>
    <xf numFmtId="164" fontId="17" fillId="0" borderId="15" xfId="0" applyNumberFormat="1" applyFont="1" applyFill="1" applyBorder="1"/>
    <xf numFmtId="3" fontId="17" fillId="0" borderId="0" xfId="0" applyNumberFormat="1" applyFont="1" applyFill="1" applyBorder="1"/>
    <xf numFmtId="164" fontId="17" fillId="0" borderId="0" xfId="0" applyNumberFormat="1" applyFont="1" applyFill="1" applyBorder="1"/>
    <xf numFmtId="3" fontId="17" fillId="0" borderId="16" xfId="0" applyNumberFormat="1" applyFont="1" applyFill="1" applyBorder="1"/>
    <xf numFmtId="164" fontId="17" fillId="0" borderId="16" xfId="0" applyNumberFormat="1" applyFont="1" applyFill="1" applyBorder="1"/>
    <xf numFmtId="0" fontId="17" fillId="0" borderId="0" xfId="0" applyFont="1" applyFill="1" applyBorder="1"/>
    <xf numFmtId="164" fontId="17" fillId="0" borderId="0" xfId="0" applyNumberFormat="1" applyFont="1" applyFill="1" applyBorder="1" applyAlignment="1">
      <alignment horizontal="right"/>
    </xf>
    <xf numFmtId="164" fontId="5" fillId="3" borderId="7" xfId="1" applyNumberFormat="1" applyFont="1" applyFill="1" applyBorder="1" applyProtection="1"/>
    <xf numFmtId="166" fontId="5" fillId="0" borderId="0" xfId="5" applyNumberFormat="1" applyFont="1"/>
    <xf numFmtId="172" fontId="17" fillId="0" borderId="20" xfId="0" applyNumberFormat="1" applyFont="1" applyBorder="1"/>
    <xf numFmtId="0" fontId="17" fillId="0" borderId="0" xfId="0" applyFont="1"/>
    <xf numFmtId="10" fontId="17" fillId="0" borderId="0" xfId="0" applyNumberFormat="1" applyFont="1"/>
    <xf numFmtId="41" fontId="17" fillId="0" borderId="0" xfId="0" applyNumberFormat="1" applyFont="1"/>
    <xf numFmtId="4" fontId="17" fillId="0" borderId="0" xfId="0" applyNumberFormat="1" applyFont="1" applyProtection="1"/>
    <xf numFmtId="171" fontId="17" fillId="0" borderId="0" xfId="0" applyNumberFormat="1" applyFont="1" applyFill="1" applyProtection="1"/>
    <xf numFmtId="4" fontId="17" fillId="0" borderId="0" xfId="0" applyNumberFormat="1" applyFont="1" applyFill="1" applyProtection="1"/>
    <xf numFmtId="43" fontId="17" fillId="0" borderId="0" xfId="0" applyNumberFormat="1" applyFont="1"/>
    <xf numFmtId="172" fontId="17" fillId="0" borderId="0" xfId="0" applyNumberFormat="1" applyFont="1"/>
    <xf numFmtId="0" fontId="17" fillId="0" borderId="19" xfId="0" applyFont="1" applyBorder="1"/>
    <xf numFmtId="172" fontId="17" fillId="0" borderId="22" xfId="0" applyNumberFormat="1" applyFont="1" applyBorder="1"/>
    <xf numFmtId="41" fontId="17" fillId="0" borderId="16" xfId="0" applyNumberFormat="1" applyFont="1" applyBorder="1"/>
    <xf numFmtId="10" fontId="17" fillId="0" borderId="16" xfId="5" applyNumberFormat="1" applyFont="1" applyBorder="1"/>
    <xf numFmtId="4" fontId="17" fillId="0" borderId="16" xfId="0" applyNumberFormat="1" applyFont="1" applyBorder="1" applyProtection="1"/>
    <xf numFmtId="171" fontId="17" fillId="0" borderId="16" xfId="5" applyNumberFormat="1" applyFont="1" applyFill="1" applyBorder="1" applyProtection="1"/>
    <xf numFmtId="4" fontId="17" fillId="0" borderId="16" xfId="0" applyNumberFormat="1" applyFont="1" applyFill="1" applyBorder="1" applyProtection="1"/>
    <xf numFmtId="43" fontId="17" fillId="0" borderId="16" xfId="0" applyNumberFormat="1" applyFont="1" applyBorder="1"/>
    <xf numFmtId="172" fontId="17" fillId="0" borderId="16" xfId="0" applyNumberFormat="1" applyFont="1" applyBorder="1"/>
    <xf numFmtId="3" fontId="17" fillId="0" borderId="21" xfId="0" applyNumberFormat="1" applyFont="1" applyBorder="1"/>
    <xf numFmtId="172" fontId="17" fillId="7" borderId="20" xfId="0" applyNumberFormat="1" applyFont="1" applyFill="1" applyBorder="1"/>
    <xf numFmtId="41" fontId="17" fillId="7" borderId="0" xfId="0" applyNumberFormat="1" applyFont="1" applyFill="1" applyBorder="1"/>
    <xf numFmtId="10" fontId="17" fillId="7" borderId="0" xfId="5" applyNumberFormat="1" applyFont="1" applyFill="1" applyBorder="1"/>
    <xf numFmtId="4" fontId="17" fillId="7" borderId="0" xfId="0" applyNumberFormat="1" applyFont="1" applyFill="1" applyBorder="1" applyProtection="1"/>
    <xf numFmtId="171" fontId="17" fillId="0" borderId="0" xfId="5" applyNumberFormat="1" applyFont="1" applyFill="1" applyBorder="1" applyProtection="1"/>
    <xf numFmtId="4" fontId="17" fillId="0" borderId="0" xfId="0" applyNumberFormat="1" applyFont="1" applyFill="1" applyBorder="1" applyProtection="1"/>
    <xf numFmtId="43" fontId="17" fillId="7" borderId="0" xfId="0" applyNumberFormat="1" applyFont="1" applyFill="1" applyBorder="1"/>
    <xf numFmtId="172" fontId="17" fillId="7" borderId="0" xfId="0" applyNumberFormat="1" applyFont="1" applyFill="1" applyBorder="1"/>
    <xf numFmtId="3" fontId="17" fillId="7" borderId="19" xfId="0" applyNumberFormat="1" applyFont="1" applyFill="1" applyBorder="1"/>
    <xf numFmtId="41" fontId="17" fillId="0" borderId="0" xfId="0" applyNumberFormat="1" applyFont="1" applyBorder="1"/>
    <xf numFmtId="10" fontId="17" fillId="0" borderId="0" xfId="5" applyNumberFormat="1" applyFont="1" applyBorder="1"/>
    <xf numFmtId="4" fontId="17" fillId="0" borderId="0" xfId="0" applyNumberFormat="1" applyFont="1" applyBorder="1" applyProtection="1"/>
    <xf numFmtId="43" fontId="17" fillId="0" borderId="0" xfId="0" applyNumberFormat="1" applyFont="1" applyBorder="1"/>
    <xf numFmtId="172" fontId="17" fillId="0" borderId="0" xfId="0" applyNumberFormat="1" applyFont="1" applyBorder="1"/>
    <xf numFmtId="3" fontId="17" fillId="0" borderId="19" xfId="0" applyNumberFormat="1" applyFont="1" applyBorder="1"/>
    <xf numFmtId="172" fontId="17" fillId="7" borderId="18" xfId="0" applyNumberFormat="1" applyFont="1" applyFill="1" applyBorder="1"/>
    <xf numFmtId="41" fontId="17" fillId="7" borderId="15" xfId="0" applyNumberFormat="1" applyFont="1" applyFill="1" applyBorder="1"/>
    <xf numFmtId="10" fontId="17" fillId="7" borderId="15" xfId="5" applyNumberFormat="1" applyFont="1" applyFill="1" applyBorder="1"/>
    <xf numFmtId="173" fontId="17" fillId="7" borderId="15" xfId="0" applyNumberFormat="1" applyFont="1" applyFill="1" applyBorder="1"/>
    <xf numFmtId="4" fontId="17" fillId="7" borderId="15" xfId="0" applyNumberFormat="1" applyFont="1" applyFill="1" applyBorder="1" applyProtection="1"/>
    <xf numFmtId="171" fontId="17" fillId="0" borderId="15" xfId="5" applyNumberFormat="1" applyFont="1" applyFill="1" applyBorder="1" applyProtection="1"/>
    <xf numFmtId="4" fontId="17" fillId="0" borderId="15" xfId="0" applyNumberFormat="1" applyFont="1" applyFill="1" applyBorder="1" applyProtection="1"/>
    <xf numFmtId="43" fontId="17" fillId="7" borderId="15" xfId="0" applyNumberFormat="1" applyFont="1" applyFill="1" applyBorder="1"/>
    <xf numFmtId="172" fontId="17" fillId="7" borderId="15" xfId="0" applyNumberFormat="1" applyFont="1" applyFill="1" applyBorder="1"/>
    <xf numFmtId="3" fontId="17" fillId="7" borderId="17" xfId="0" applyNumberFormat="1" applyFont="1" applyFill="1" applyBorder="1"/>
    <xf numFmtId="166" fontId="20" fillId="5" borderId="0" xfId="5" applyNumberFormat="1" applyFont="1" applyFill="1" applyBorder="1" applyAlignment="1">
      <alignment horizontal="center" wrapText="1"/>
    </xf>
    <xf numFmtId="0" fontId="21" fillId="0" borderId="0" xfId="0" applyFont="1" applyFill="1"/>
    <xf numFmtId="166" fontId="17" fillId="0" borderId="15" xfId="5" applyNumberFormat="1" applyFont="1" applyFill="1" applyBorder="1"/>
    <xf numFmtId="166" fontId="17" fillId="0" borderId="0" xfId="5" applyNumberFormat="1" applyFont="1" applyFill="1" applyBorder="1"/>
    <xf numFmtId="166" fontId="17" fillId="0" borderId="16" xfId="5" applyNumberFormat="1" applyFont="1" applyFill="1" applyBorder="1"/>
    <xf numFmtId="166" fontId="23" fillId="0" borderId="0" xfId="0" applyNumberFormat="1" applyFont="1" applyFill="1" applyBorder="1" applyAlignment="1">
      <alignment horizontal="right"/>
    </xf>
    <xf numFmtId="166" fontId="5" fillId="3" borderId="7" xfId="5" applyNumberFormat="1" applyFont="1" applyFill="1" applyBorder="1" applyProtection="1"/>
    <xf numFmtId="0" fontId="24" fillId="3" borderId="0" xfId="0" applyFont="1" applyFill="1" applyAlignment="1">
      <alignment horizontal="right"/>
    </xf>
    <xf numFmtId="0" fontId="24" fillId="3" borderId="0" xfId="0" applyFont="1" applyFill="1"/>
    <xf numFmtId="0" fontId="11" fillId="3" borderId="0" xfId="0" applyFont="1" applyFill="1"/>
    <xf numFmtId="0" fontId="11" fillId="3" borderId="0" xfId="0" applyFont="1" applyFill="1" applyAlignment="1">
      <alignment horizontal="right"/>
    </xf>
    <xf numFmtId="43" fontId="11" fillId="3" borderId="0" xfId="1" applyFont="1" applyFill="1"/>
    <xf numFmtId="43" fontId="11" fillId="3" borderId="7" xfId="1" applyFont="1" applyFill="1" applyBorder="1"/>
    <xf numFmtId="43" fontId="11" fillId="3" borderId="0" xfId="0" applyNumberFormat="1" applyFont="1" applyFill="1"/>
    <xf numFmtId="43" fontId="11" fillId="3" borderId="10" xfId="0" applyNumberFormat="1" applyFont="1" applyFill="1" applyBorder="1"/>
    <xf numFmtId="168" fontId="11" fillId="3" borderId="5" xfId="1" applyNumberFormat="1" applyFont="1" applyFill="1" applyBorder="1"/>
    <xf numFmtId="0" fontId="19" fillId="3" borderId="0" xfId="0" applyFont="1" applyFill="1" applyAlignment="1" applyProtection="1">
      <alignment horizontal="center"/>
    </xf>
    <xf numFmtId="0" fontId="5" fillId="3" borderId="7" xfId="0" applyFont="1" applyFill="1" applyBorder="1" applyAlignment="1" applyProtection="1">
      <alignment horizontal="left"/>
      <protection locked="0"/>
    </xf>
    <xf numFmtId="169" fontId="5" fillId="3" borderId="10" xfId="3" applyNumberFormat="1" applyFont="1" applyFill="1" applyBorder="1" applyAlignment="1" applyProtection="1">
      <alignment horizontal="right"/>
    </xf>
    <xf numFmtId="169" fontId="5" fillId="3" borderId="7" xfId="3" applyNumberFormat="1" applyFont="1" applyFill="1" applyBorder="1" applyAlignment="1" applyProtection="1">
      <alignment horizontal="right"/>
    </xf>
    <xf numFmtId="0" fontId="5" fillId="3" borderId="0" xfId="0" applyFont="1" applyFill="1" applyAlignment="1" applyProtection="1">
      <alignment horizontal="left" vertical="top" wrapText="1"/>
    </xf>
    <xf numFmtId="0" fontId="5" fillId="3" borderId="0" xfId="0" applyFont="1" applyFill="1" applyAlignment="1" applyProtection="1">
      <alignment horizontal="left" vertical="top"/>
    </xf>
    <xf numFmtId="0" fontId="5" fillId="3" borderId="0" xfId="0" applyFont="1" applyFill="1" applyAlignment="1" applyProtection="1">
      <alignment horizontal="left" wrapText="1"/>
    </xf>
    <xf numFmtId="0" fontId="5" fillId="3" borderId="10" xfId="0" applyFont="1" applyFill="1" applyBorder="1" applyAlignment="1" applyProtection="1">
      <alignment horizontal="left"/>
      <protection locked="0"/>
    </xf>
    <xf numFmtId="0" fontId="16" fillId="4" borderId="3" xfId="0" applyFont="1" applyFill="1" applyBorder="1" applyAlignment="1" applyProtection="1">
      <alignment horizontal="center"/>
      <protection locked="0"/>
    </xf>
    <xf numFmtId="165" fontId="16" fillId="4" borderId="11" xfId="0" applyNumberFormat="1" applyFont="1" applyFill="1" applyBorder="1" applyAlignment="1" applyProtection="1">
      <alignment horizontal="center"/>
      <protection locked="0"/>
    </xf>
    <xf numFmtId="165" fontId="16" fillId="4" borderId="7" xfId="0" applyNumberFormat="1" applyFont="1" applyFill="1" applyBorder="1" applyAlignment="1" applyProtection="1">
      <alignment horizontal="center"/>
      <protection locked="0"/>
    </xf>
    <xf numFmtId="165" fontId="16" fillId="4" borderId="4" xfId="0" applyNumberFormat="1" applyFont="1" applyFill="1" applyBorder="1" applyAlignment="1" applyProtection="1">
      <alignment horizontal="center"/>
      <protection locked="0"/>
    </xf>
    <xf numFmtId="0" fontId="18" fillId="3" borderId="10" xfId="0" applyFont="1" applyFill="1" applyBorder="1" applyAlignment="1" applyProtection="1">
      <alignment horizontal="center"/>
    </xf>
    <xf numFmtId="170" fontId="5" fillId="0" borderId="10" xfId="0" applyNumberFormat="1" applyFont="1" applyFill="1" applyBorder="1" applyAlignment="1" applyProtection="1">
      <alignment horizontal="left"/>
      <protection locked="0"/>
    </xf>
    <xf numFmtId="165" fontId="5" fillId="3" borderId="10" xfId="0" applyNumberFormat="1" applyFont="1" applyFill="1" applyBorder="1" applyAlignment="1" applyProtection="1">
      <alignment horizontal="left"/>
      <protection locked="0"/>
    </xf>
    <xf numFmtId="0" fontId="5" fillId="3" borderId="0" xfId="0" applyFont="1" applyFill="1" applyAlignment="1" applyProtection="1">
      <alignment horizontal="right" wrapText="1"/>
    </xf>
    <xf numFmtId="0" fontId="22" fillId="0" borderId="0" xfId="7" applyFont="1" applyFill="1" applyBorder="1" applyAlignment="1">
      <alignment horizontal="center"/>
    </xf>
    <xf numFmtId="0" fontId="11" fillId="3" borderId="0" xfId="0" applyFont="1" applyFill="1" applyAlignment="1">
      <alignment horizontal="left" vertical="top" wrapText="1"/>
    </xf>
    <xf numFmtId="0" fontId="11" fillId="3" borderId="0" xfId="0" applyFont="1" applyFill="1" applyAlignment="1" applyProtection="1">
      <alignment horizontal="left" vertical="top" wrapText="1"/>
      <protection locked="0"/>
    </xf>
  </cellXfs>
  <cellStyles count="10">
    <cellStyle name="Comma" xfId="1" builtinId="3"/>
    <cellStyle name="Comma [0]" xfId="2" builtinId="6"/>
    <cellStyle name="Currency" xfId="3" builtinId="4"/>
    <cellStyle name="Currency [0]" xfId="4" builtinId="7"/>
    <cellStyle name="Heading 1" xfId="7" builtinId="16"/>
    <cellStyle name="Input" xfId="8" builtinId="20"/>
    <cellStyle name="Normal" xfId="0" builtinId="0"/>
    <cellStyle name="Normal 5" xfId="9" xr:uid="{00000000-0005-0000-0000-000007000000}"/>
    <cellStyle name="Percent" xfId="5" builtinId="5"/>
    <cellStyle name="Title" xfId="6" builtinId="15"/>
  </cellStyles>
  <dxfs count="44">
    <dxf>
      <font>
        <b val="0"/>
        <i val="0"/>
        <strike val="0"/>
        <condense val="0"/>
        <extend val="0"/>
        <outline val="0"/>
        <shadow val="0"/>
        <u val="none"/>
        <vertAlign val="baseline"/>
        <sz val="11"/>
        <color auto="1"/>
        <name val="Source Sans Pro"/>
        <scheme val="none"/>
      </font>
      <numFmt numFmtId="172" formatCode="#,##0.0"/>
      <border diagonalUp="0" diagonalDown="0" outline="0">
        <left/>
        <right style="medium">
          <color indexed="64"/>
        </right>
        <top/>
        <bottom/>
      </border>
    </dxf>
    <dxf>
      <font>
        <b val="0"/>
        <i val="0"/>
        <strike val="0"/>
        <condense val="0"/>
        <extend val="0"/>
        <outline val="0"/>
        <shadow val="0"/>
        <u val="none"/>
        <vertAlign val="baseline"/>
        <sz val="11"/>
        <color auto="1"/>
        <name val="Source Sans Pro"/>
        <scheme val="none"/>
      </font>
      <numFmt numFmtId="172" formatCode="#,##0.0"/>
      <border diagonalUp="0" diagonalDown="0">
        <left/>
        <right style="medium">
          <color indexed="64"/>
        </right>
        <top/>
        <bottom/>
        <vertical/>
        <horizontal/>
      </border>
    </dxf>
    <dxf>
      <font>
        <b val="0"/>
        <i val="0"/>
        <strike val="0"/>
        <condense val="0"/>
        <extend val="0"/>
        <outline val="0"/>
        <shadow val="0"/>
        <u val="none"/>
        <vertAlign val="baseline"/>
        <sz val="11"/>
        <color auto="1"/>
        <name val="Source Sans Pro"/>
        <scheme val="none"/>
      </font>
    </dxf>
    <dxf>
      <font>
        <b val="0"/>
        <i val="0"/>
        <strike val="0"/>
        <condense val="0"/>
        <extend val="0"/>
        <outline val="0"/>
        <shadow val="0"/>
        <u val="none"/>
        <vertAlign val="baseline"/>
        <sz val="11"/>
        <color auto="1"/>
        <name val="Source Sans Pro"/>
        <scheme val="none"/>
      </font>
      <numFmt numFmtId="33" formatCode="_(* #,##0_);_(* \(#,##0\);_(* &quot;-&quot;_);_(@_)"/>
    </dxf>
    <dxf>
      <font>
        <b val="0"/>
        <i val="0"/>
        <strike val="0"/>
        <condense val="0"/>
        <extend val="0"/>
        <outline val="0"/>
        <shadow val="0"/>
        <u val="none"/>
        <vertAlign val="baseline"/>
        <sz val="11"/>
        <color auto="1"/>
        <name val="Source Sans Pro"/>
        <scheme val="none"/>
      </font>
      <numFmt numFmtId="14" formatCode="0.00%"/>
    </dxf>
    <dxf>
      <font>
        <b val="0"/>
        <i val="0"/>
        <strike val="0"/>
        <condense val="0"/>
        <extend val="0"/>
        <outline val="0"/>
        <shadow val="0"/>
        <u val="none"/>
        <vertAlign val="baseline"/>
        <sz val="11"/>
        <color auto="1"/>
        <name val="Source Sans Pro"/>
        <scheme val="none"/>
      </font>
      <numFmt numFmtId="14" formatCode="0.00%"/>
    </dxf>
    <dxf>
      <font>
        <b val="0"/>
        <i val="0"/>
        <strike val="0"/>
        <condense val="0"/>
        <extend val="0"/>
        <outline val="0"/>
        <shadow val="0"/>
        <u val="none"/>
        <vertAlign val="baseline"/>
        <sz val="11"/>
        <color auto="1"/>
        <name val="Source Sans Pro"/>
        <scheme val="none"/>
      </font>
      <numFmt numFmtId="33" formatCode="_(* #,##0_);_(* \(#,##0\);_(* &quot;-&quot;_);_(@_)"/>
    </dxf>
    <dxf>
      <font>
        <b val="0"/>
        <i val="0"/>
        <strike val="0"/>
        <condense val="0"/>
        <extend val="0"/>
        <outline val="0"/>
        <shadow val="0"/>
        <u val="none"/>
        <vertAlign val="baseline"/>
        <sz val="11"/>
        <color auto="1"/>
        <name val="Source Sans Pro"/>
        <scheme val="none"/>
      </font>
      <numFmt numFmtId="33" formatCode="_(* #,##0_);_(* \(#,##0\);_(* &quot;-&quot;_);_(@_)"/>
    </dxf>
    <dxf>
      <font>
        <b val="0"/>
        <i val="0"/>
        <strike val="0"/>
        <condense val="0"/>
        <extend val="0"/>
        <outline val="0"/>
        <shadow val="0"/>
        <u val="none"/>
        <vertAlign val="baseline"/>
        <sz val="11"/>
        <color auto="1"/>
        <name val="Source Sans Pro"/>
        <scheme val="none"/>
      </font>
      <numFmt numFmtId="4" formatCode="#,##0.00"/>
      <protection locked="1" hidden="0"/>
    </dxf>
    <dxf>
      <font>
        <b val="0"/>
        <i val="0"/>
        <strike val="0"/>
        <condense val="0"/>
        <extend val="0"/>
        <outline val="0"/>
        <shadow val="0"/>
        <u val="none"/>
        <vertAlign val="baseline"/>
        <sz val="11"/>
        <color auto="1"/>
        <name val="Source Sans Pro"/>
        <scheme val="none"/>
      </font>
      <numFmt numFmtId="3" formatCode="#,##0"/>
      <protection locked="1" hidden="0"/>
    </dxf>
    <dxf>
      <font>
        <b val="0"/>
        <i val="0"/>
        <strike val="0"/>
        <condense val="0"/>
        <extend val="0"/>
        <outline val="0"/>
        <shadow val="0"/>
        <u val="none"/>
        <vertAlign val="baseline"/>
        <sz val="11"/>
        <color auto="1"/>
        <name val="Source Sans Pro"/>
        <scheme val="none"/>
      </font>
      <numFmt numFmtId="171" formatCode="0.0000%"/>
      <fill>
        <patternFill patternType="none">
          <fgColor indexed="64"/>
          <bgColor indexed="65"/>
        </patternFill>
      </fill>
      <protection locked="1" hidden="0"/>
    </dxf>
    <dxf>
      <font>
        <b val="0"/>
        <i val="0"/>
        <strike val="0"/>
        <condense val="0"/>
        <extend val="0"/>
        <outline val="0"/>
        <shadow val="0"/>
        <u val="none"/>
        <vertAlign val="baseline"/>
        <sz val="11"/>
        <color auto="1"/>
        <name val="Source Sans Pro"/>
        <scheme val="none"/>
      </font>
      <numFmt numFmtId="171" formatCode="0.0000%"/>
      <fill>
        <patternFill patternType="none">
          <fgColor indexed="64"/>
          <bgColor auto="1"/>
        </patternFill>
      </fill>
      <protection locked="1" hidden="0"/>
    </dxf>
    <dxf>
      <font>
        <b val="0"/>
        <i val="0"/>
        <strike val="0"/>
        <condense val="0"/>
        <extend val="0"/>
        <outline val="0"/>
        <shadow val="0"/>
        <u val="none"/>
        <vertAlign val="baseline"/>
        <sz val="11"/>
        <color auto="1"/>
        <name val="Source Sans Pro"/>
        <scheme val="none"/>
      </font>
      <numFmt numFmtId="4" formatCode="#,##0.00"/>
      <fill>
        <patternFill patternType="none">
          <fgColor indexed="64"/>
          <bgColor indexed="65"/>
        </patternFill>
      </fill>
      <protection locked="1" hidden="0"/>
    </dxf>
    <dxf>
      <font>
        <b val="0"/>
        <i val="0"/>
        <strike val="0"/>
        <condense val="0"/>
        <extend val="0"/>
        <outline val="0"/>
        <shadow val="0"/>
        <u val="none"/>
        <vertAlign val="baseline"/>
        <sz val="11"/>
        <color auto="1"/>
        <name val="Source Sans Pro"/>
        <scheme val="none"/>
      </font>
      <numFmt numFmtId="4" formatCode="#,##0.00"/>
      <fill>
        <patternFill patternType="none">
          <fgColor indexed="64"/>
          <bgColor auto="1"/>
        </patternFill>
      </fill>
      <protection locked="1" hidden="0"/>
    </dxf>
    <dxf>
      <font>
        <b val="0"/>
        <i val="0"/>
        <strike val="0"/>
        <condense val="0"/>
        <extend val="0"/>
        <outline val="0"/>
        <shadow val="0"/>
        <u val="none"/>
        <vertAlign val="baseline"/>
        <sz val="11"/>
        <color auto="1"/>
        <name val="Source Sans Pro"/>
        <scheme val="none"/>
      </font>
      <numFmt numFmtId="35" formatCode="_(* #,##0.00_);_(* \(#,##0.00\);_(* &quot;-&quot;??_);_(@_)"/>
    </dxf>
    <dxf>
      <font>
        <b val="0"/>
        <i val="0"/>
        <strike val="0"/>
        <condense val="0"/>
        <extend val="0"/>
        <outline val="0"/>
        <shadow val="0"/>
        <u val="none"/>
        <vertAlign val="baseline"/>
        <sz val="11"/>
        <color auto="1"/>
        <name val="Source Sans Pro"/>
        <scheme val="none"/>
      </font>
      <numFmt numFmtId="35" formatCode="_(* #,##0.00_);_(* \(#,##0.00\);_(* &quot;-&quot;??_);_(@_)"/>
    </dxf>
    <dxf>
      <font>
        <b val="0"/>
        <i val="0"/>
        <strike val="0"/>
        <condense val="0"/>
        <extend val="0"/>
        <outline val="0"/>
        <shadow val="0"/>
        <u val="none"/>
        <vertAlign val="baseline"/>
        <sz val="11"/>
        <color auto="1"/>
        <name val="Source Sans Pro"/>
        <scheme val="none"/>
      </font>
      <numFmt numFmtId="172" formatCode="#,##0.0"/>
    </dxf>
    <dxf>
      <font>
        <b val="0"/>
        <i val="0"/>
        <strike val="0"/>
        <condense val="0"/>
        <extend val="0"/>
        <outline val="0"/>
        <shadow val="0"/>
        <u val="none"/>
        <vertAlign val="baseline"/>
        <sz val="11"/>
        <color auto="1"/>
        <name val="Source Sans Pro"/>
        <scheme val="none"/>
      </font>
      <numFmt numFmtId="172" formatCode="#,##0.0"/>
    </dxf>
    <dxf>
      <font>
        <b val="0"/>
        <i val="0"/>
        <strike val="0"/>
        <condense val="0"/>
        <extend val="0"/>
        <outline val="0"/>
        <shadow val="0"/>
        <u val="none"/>
        <vertAlign val="baseline"/>
        <sz val="11"/>
        <color auto="1"/>
        <name val="Source Sans Pro"/>
        <scheme val="none"/>
      </font>
      <border diagonalUp="0" diagonalDown="0" outline="0">
        <left style="medium">
          <color indexed="64"/>
        </left>
        <right/>
        <top/>
        <bottom/>
      </border>
    </dxf>
    <dxf>
      <font>
        <b val="0"/>
        <i val="0"/>
        <strike val="0"/>
        <condense val="0"/>
        <extend val="0"/>
        <outline val="0"/>
        <shadow val="0"/>
        <u val="none"/>
        <vertAlign val="baseline"/>
        <sz val="11"/>
        <color auto="1"/>
        <name val="Source Sans Pro"/>
        <scheme val="none"/>
      </font>
      <numFmt numFmtId="3" formatCode="#,##0"/>
      <border diagonalUp="0" diagonalDown="0">
        <left style="medium">
          <color indexed="64"/>
        </left>
        <right/>
        <top/>
        <bottom/>
        <vertical/>
        <horizontal/>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Source Sans Pro"/>
        <scheme val="none"/>
      </font>
    </dxf>
    <dxf>
      <font>
        <b/>
        <i val="0"/>
        <strike val="0"/>
        <condense val="0"/>
        <extend val="0"/>
        <outline val="0"/>
        <shadow val="0"/>
        <u val="none"/>
        <vertAlign val="baseline"/>
        <sz val="11"/>
        <color theme="0"/>
        <name val="Source Sans Pro"/>
        <scheme val="none"/>
      </font>
      <fill>
        <patternFill patternType="solid">
          <fgColor indexed="64"/>
          <bgColor rgb="FF0066BA"/>
        </patternFill>
      </fill>
      <alignment horizontal="center" vertical="bottom" textRotation="0" wrapText="1" indent="0" justifyLastLine="0" shrinkToFit="0" readingOrder="0"/>
    </dxf>
    <dxf>
      <font>
        <b val="0"/>
        <i val="0"/>
        <strike val="0"/>
        <condense val="0"/>
        <extend val="0"/>
        <outline val="0"/>
        <shadow val="0"/>
        <u val="none"/>
        <vertAlign val="baseline"/>
        <sz val="11"/>
        <color auto="1"/>
        <name val="Source Sans Pro"/>
        <scheme val="none"/>
      </font>
      <numFmt numFmtId="164" formatCode="_(* #,##0.0_);_(* \(#,##0.0\);_(* &quot;-&quot;??_);_(@_)"/>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Source Sans Pro"/>
        <scheme val="none"/>
      </font>
      <numFmt numFmtId="164" formatCode="_(* #,##0.0_);_(* \(#,##0.0\);_(* &quot;-&quot;??_);_(@_)"/>
      <fill>
        <patternFill patternType="none">
          <fgColor indexed="64"/>
          <bgColor auto="1"/>
        </patternFill>
      </fill>
    </dxf>
    <dxf>
      <font>
        <b val="0"/>
        <i val="0"/>
        <strike val="0"/>
        <condense val="0"/>
        <extend val="0"/>
        <outline val="0"/>
        <shadow val="0"/>
        <u val="none"/>
        <vertAlign val="baseline"/>
        <sz val="11"/>
        <color auto="1"/>
        <name val="Source Sans Pro"/>
        <scheme val="none"/>
      </font>
      <numFmt numFmtId="164" formatCode="_(* #,##0.0_);_(* \(#,##0.0\);_(* &quot;-&quot;??_);_(@_)"/>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Source Sans Pro"/>
        <scheme val="none"/>
      </font>
      <numFmt numFmtId="164" formatCode="_(* #,##0.0_);_(* \(#,##0.0\);_(* &quot;-&quot;??_);_(@_)"/>
      <fill>
        <patternFill patternType="none">
          <fgColor indexed="64"/>
          <bgColor auto="1"/>
        </patternFill>
      </fill>
      <border diagonalUp="0" diagonalDown="0">
        <left/>
        <right/>
        <top/>
        <bottom style="medium">
          <color indexed="64"/>
        </bottom>
        <vertical/>
      </border>
    </dxf>
    <dxf>
      <font>
        <b val="0"/>
        <i val="0"/>
        <strike val="0"/>
        <condense val="0"/>
        <extend val="0"/>
        <outline val="0"/>
        <shadow val="0"/>
        <u val="none"/>
        <vertAlign val="baseline"/>
        <sz val="11"/>
        <color auto="1"/>
        <name val="Source Sans Pro"/>
        <scheme val="none"/>
      </font>
      <numFmt numFmtId="164" formatCode="_(* #,##0.0_);_(* \(#,##0.0\);_(* &quot;-&quot;??_);_(@_)"/>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Source Sans Pro"/>
        <scheme val="none"/>
      </font>
      <numFmt numFmtId="164" formatCode="_(* #,##0.0_);_(* \(#,##0.0\);_(* &quot;-&quot;??_);_(@_)"/>
      <fill>
        <patternFill patternType="none">
          <fgColor indexed="64"/>
          <bgColor auto="1"/>
        </patternFill>
      </fill>
    </dxf>
    <dxf>
      <font>
        <b val="0"/>
        <i val="0"/>
        <strike val="0"/>
        <condense val="0"/>
        <extend val="0"/>
        <outline val="0"/>
        <shadow val="0"/>
        <u val="none"/>
        <vertAlign val="baseline"/>
        <sz val="11"/>
        <color auto="1"/>
        <name val="Source Sans Pro"/>
        <scheme val="none"/>
      </font>
      <numFmt numFmtId="164" formatCode="_(* #,##0.0_);_(* \(#,##0.0\);_(* &quot;-&quot;??_);_(@_)"/>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Source Sans Pro"/>
        <scheme val="none"/>
      </font>
      <numFmt numFmtId="164" formatCode="_(* #,##0.0_);_(* \(#,##0.0\);_(* &quot;-&quot;??_);_(@_)"/>
      <fill>
        <patternFill patternType="none">
          <fgColor indexed="64"/>
          <bgColor indexed="65"/>
        </patternFill>
      </fill>
      <border diagonalUp="0" diagonalDown="0">
        <left/>
        <right/>
        <top/>
        <bottom style="medium">
          <color indexed="64"/>
        </bottom>
        <vertical/>
        <horizontal/>
      </border>
    </dxf>
    <dxf>
      <font>
        <b val="0"/>
        <i val="0"/>
        <strike val="0"/>
        <condense val="0"/>
        <extend val="0"/>
        <outline val="0"/>
        <shadow val="0"/>
        <u val="none"/>
        <vertAlign val="baseline"/>
        <sz val="11"/>
        <color auto="1"/>
        <name val="Source Sans Pro"/>
        <scheme val="none"/>
      </font>
      <numFmt numFmtId="164" formatCode="_(* #,##0.0_);_(* \(#,##0.0\);_(* &quot;-&quot;??_);_(@_)"/>
      <fill>
        <patternFill patternType="none">
          <fgColor indexed="64"/>
          <bgColor indexed="65"/>
        </patternFill>
      </fill>
      <alignment horizontal="right"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11"/>
        <color auto="1"/>
        <name val="Source Sans Pro"/>
        <scheme val="none"/>
      </font>
      <numFmt numFmtId="172" formatCode="#,##0.0"/>
      <fill>
        <patternFill patternType="none">
          <fgColor indexed="64"/>
          <bgColor auto="1"/>
        </patternFill>
      </fill>
    </dxf>
    <dxf>
      <font>
        <b val="0"/>
        <i val="0"/>
        <strike val="0"/>
        <condense val="0"/>
        <extend val="0"/>
        <outline val="0"/>
        <shadow val="0"/>
        <u val="none"/>
        <vertAlign val="baseline"/>
        <sz val="11"/>
        <color auto="1"/>
        <name val="Source Sans Pro"/>
        <scheme val="none"/>
      </font>
      <numFmt numFmtId="166" formatCode="0.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11"/>
        <color auto="1"/>
        <name val="Source Sans Pro"/>
        <scheme val="none"/>
      </font>
      <numFmt numFmtId="166" formatCode="0.0%"/>
      <fill>
        <patternFill patternType="none">
          <fgColor indexed="64"/>
          <bgColor indexed="65"/>
        </patternFill>
      </fill>
    </dxf>
    <dxf>
      <font>
        <b val="0"/>
        <i val="0"/>
        <strike val="0"/>
        <condense val="0"/>
        <extend val="0"/>
        <outline val="0"/>
        <shadow val="0"/>
        <u val="none"/>
        <vertAlign val="baseline"/>
        <sz val="11"/>
        <color auto="1"/>
        <name val="Source Sans Pro"/>
        <scheme val="none"/>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1"/>
        <color auto="1"/>
        <name val="Source Sans Pro"/>
        <scheme val="none"/>
      </font>
      <numFmt numFmtId="3" formatCode="#,##0"/>
      <fill>
        <patternFill patternType="none">
          <fgColor indexed="64"/>
          <bgColor auto="1"/>
        </patternFill>
      </fill>
    </dxf>
    <dxf>
      <border>
        <top style="medium">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Source Sans Pro"/>
        <scheme val="none"/>
      </font>
      <fill>
        <patternFill patternType="none">
          <fgColor indexed="64"/>
          <bgColor auto="1"/>
        </patternFill>
      </fill>
    </dxf>
    <dxf>
      <border>
        <bottom style="medium">
          <color indexed="64"/>
        </bottom>
      </border>
    </dxf>
    <dxf>
      <font>
        <b/>
        <i val="0"/>
        <strike val="0"/>
        <condense val="0"/>
        <extend val="0"/>
        <outline val="0"/>
        <shadow val="0"/>
        <u val="none"/>
        <vertAlign val="baseline"/>
        <sz val="11"/>
        <color theme="0"/>
        <name val="Source Sans Pro"/>
        <scheme val="none"/>
      </font>
      <fill>
        <patternFill patternType="solid">
          <fgColor indexed="64"/>
          <bgColor rgb="FF0066BA"/>
        </patternFill>
      </fill>
      <alignment horizontal="center" vertical="bottom" textRotation="0" wrapText="1" indent="0" justifyLastLine="0" shrinkToFit="0" readingOrder="0"/>
      <border diagonalUp="0" diagonalDown="0">
        <left/>
        <right/>
        <top/>
        <bottom/>
        <vertical/>
        <horizontal/>
      </border>
    </dxf>
    <dxf>
      <font>
        <color rgb="FF9C0006"/>
      </font>
    </dxf>
    <dxf>
      <font>
        <b val="0"/>
        <i val="0"/>
        <color rgb="FFC00000"/>
      </font>
    </dxf>
  </dxfs>
  <tableStyles count="0" defaultTableStyle="TableStyleMedium2" defaultPivotStyle="PivotStyleLight16"/>
  <colors>
    <mruColors>
      <color rgb="FF002F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hart_FON" displayName="Chart_FON" ref="B3:H76" totalsRowCount="1" headerRowDxfId="41" dataDxfId="39" headerRowBorderDxfId="40" tableBorderDxfId="38" totalsRowBorderDxfId="37">
  <tableColumns count="7">
    <tableColumn id="1" xr3:uid="{00000000-0010-0000-0000-000001000000}" name="District" totalsRowLabel="Total" dataDxfId="36" totalsRowDxfId="35"/>
    <tableColumn id="3" xr3:uid="{00000000-0010-0000-0000-000003000000}" name="Fall 2020 _x000a_FT Percentage" totalsRowLabel="59.4%" dataDxfId="34" totalsRowDxfId="33" dataCellStyle="Percent"/>
    <tableColumn id="6" xr3:uid="{00000000-0010-0000-0000-000006000000}" name="Fall 2020 _x000a_Compliance " totalsRowLabel="  16,157.3  " dataDxfId="32" totalsRowDxfId="31"/>
    <tableColumn id="10" xr3:uid="{00000000-0010-0000-0000-00000A000000}" name="Fall 2020_x000a_Reported FON" totalsRowLabel="  18,983.4  " dataDxfId="30" totalsRowDxfId="29"/>
    <tableColumn id="7" xr3:uid="{00000000-0010-0000-0000-000007000000}" name="Fall 2021_x000a_Advance FON" totalsRowLabel="  15,977.3  " dataDxfId="28" totalsRowDxfId="27"/>
    <tableColumn id="2" xr3:uid="{00000000-0010-0000-0000-000002000000}" name="Fall 2021 _x000a_P2 FON" totalsRowLabel="  17,271.3  " dataDxfId="26" totalsRowDxfId="25"/>
    <tableColumn id="9" xr3:uid="{00000000-0010-0000-0000-000009000000}" name="Fall 2021 _x000a_Compliance" totalsRowLabel="  15,976.3  " dataDxfId="24" totalsRowDxfId="2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Fall2021P2_ComplianceFON_Calcs" displayName="Fall2021P2_ComplianceFON_Calcs" ref="A2:J75" totalsRowCount="1" headerRowDxfId="22" dataDxfId="21" tableBorderDxfId="20">
  <tableColumns count="10">
    <tableColumn id="1" xr3:uid="{00000000-0010-0000-0100-000001000000}" name="District" totalsRowLabel="Total" dataDxfId="19" totalsRowDxfId="18"/>
    <tableColumn id="2" xr3:uid="{00000000-0010-0000-0100-000002000000}" name="Base FON:_x000a_(2019-20 R1 FON)_x000a_(a)" totalsRowFunction="sum" dataDxfId="17" totalsRowDxfId="16"/>
    <tableColumn id="3" xr3:uid="{00000000-0010-0000-0100-000003000000}" name="Base Credit FTES: _x000a_2019-20 R1 Funded Credit FTES_x000a_(b)" totalsRowFunction="sum" dataDxfId="15" totalsRowDxfId="14"/>
    <tableColumn id="4" xr3:uid="{00000000-0010-0000-0100-000004000000}" name="Funded Credit FTES:_x000a_(2020-21 P2 Funded Credit FTES)_x000a_(c )" totalsRowFunction="sum" dataDxfId="13" totalsRowDxfId="12"/>
    <tableColumn id="5" xr3:uid="{00000000-0010-0000-0100-000005000000}" name="2020-21  P2_x000a_Deficit Percentage_x000a_(d)" dataDxfId="11" totalsRowDxfId="10" dataCellStyle="Percent"/>
    <tableColumn id="6" xr3:uid="{00000000-0010-0000-0100-000006000000}" name="Funded Credit FTES adjusted for Deficit Percentage_x000a_(e = c*(1-d))" totalsRowFunction="sum" dataDxfId="9" totalsRowDxfId="8">
      <calculatedColumnFormula>'Fall 2021 P2 FON'!$D3*(1-'Fall 2021 P2 FON'!$E3)</calculatedColumnFormula>
    </tableColumn>
    <tableColumn id="7" xr3:uid="{00000000-0010-0000-0100-000007000000}" name="Change in FTES _x000a_Growth (Decline)_x000a_(f = e-b)" totalsRowFunction="sum" dataDxfId="7" totalsRowDxfId="6">
      <calculatedColumnFormula>F3-C3</calculatedColumnFormula>
    </tableColumn>
    <tableColumn id="8" xr3:uid="{00000000-0010-0000-0100-000008000000}" name="Percent Change _x000a_(Change in FTES/Base Credit FTES)_x000a_(g = f/b)" totalsRowFunction="custom" dataDxfId="5" totalsRowDxfId="4" dataCellStyle="Percent">
      <calculatedColumnFormula>G3/C3</calculatedColumnFormula>
      <totalsRowFormula>G75/C75</totalsRowFormula>
    </tableColumn>
    <tableColumn id="9" xr3:uid="{00000000-0010-0000-0100-000009000000}" name="FTES Adjustment_x000a_(h = a*g)" totalsRowFunction="custom" dataDxfId="3" totalsRowDxfId="2">
      <calculatedColumnFormula>IF(B3*H3&gt;=0,ROUNDDOWN(B3*H3,0),ROUNDUP(B3*H3,0))</calculatedColumnFormula>
      <totalsRowFormula>IF(B75*H75&gt;=0,ROUNDDOWN(B75*H75,0),ROUNDUP(B75*H75,0))</totalsRowFormula>
    </tableColumn>
    <tableColumn id="10" xr3:uid="{00000000-0010-0000-0100-00000A000000}" name="Fall 2021 P2_x000a_FON _x000a_(i = a + h )" totalsRowFunction="sum" dataDxfId="1" totalsRowDxfId="0">
      <calculatedColumnFormula>B3+I3</calculatedColumnFormula>
    </tableColumn>
  </tableColumns>
  <tableStyleInfo name="TableStyleMedium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8"/>
  <sheetViews>
    <sheetView tabSelected="1" topLeftCell="A19" zoomScale="110" zoomScaleNormal="110" workbookViewId="0">
      <selection activeCell="J10" sqref="J10"/>
    </sheetView>
  </sheetViews>
  <sheetFormatPr defaultColWidth="9.140625" defaultRowHeight="15"/>
  <cols>
    <col min="1" max="1" width="6.28515625" style="13" customWidth="1"/>
    <col min="2" max="4" width="9.140625" style="13"/>
    <col min="5" max="5" width="13.140625" style="13" customWidth="1"/>
    <col min="6" max="7" width="9.140625" style="13"/>
    <col min="8" max="8" width="14.28515625" style="13" customWidth="1"/>
    <col min="9" max="9" width="9.140625" style="13"/>
    <col min="10" max="10" width="12.28515625" style="13" bestFit="1" customWidth="1"/>
    <col min="11" max="11" width="4.28515625" style="13" customWidth="1"/>
    <col min="12" max="16384" width="9.140625" style="13"/>
  </cols>
  <sheetData>
    <row r="1" spans="1:12" ht="22.15" customHeight="1">
      <c r="A1" s="141" t="s">
        <v>0</v>
      </c>
      <c r="B1" s="141"/>
      <c r="C1" s="141"/>
      <c r="D1" s="141"/>
      <c r="E1" s="141"/>
      <c r="F1" s="141"/>
      <c r="G1" s="141"/>
      <c r="H1" s="141"/>
      <c r="I1" s="141"/>
      <c r="J1" s="141"/>
    </row>
    <row r="2" spans="1:12" ht="22.15" customHeight="1">
      <c r="A2" s="141" t="s">
        <v>1</v>
      </c>
      <c r="B2" s="141"/>
      <c r="C2" s="141"/>
      <c r="D2" s="141"/>
      <c r="E2" s="141"/>
      <c r="F2" s="141"/>
      <c r="G2" s="141"/>
      <c r="H2" s="141"/>
      <c r="I2" s="141"/>
      <c r="J2" s="141"/>
    </row>
    <row r="3" spans="1:12" ht="22.15" customHeight="1">
      <c r="A3" s="141" t="s">
        <v>2</v>
      </c>
      <c r="B3" s="141"/>
      <c r="C3" s="141"/>
      <c r="D3" s="141"/>
      <c r="E3" s="141"/>
      <c r="F3" s="141"/>
      <c r="G3" s="141"/>
      <c r="H3" s="141"/>
      <c r="I3" s="141"/>
      <c r="J3" s="141"/>
      <c r="K3" s="14" t="s">
        <v>133</v>
      </c>
    </row>
    <row r="4" spans="1:12" ht="12" customHeight="1">
      <c r="A4" s="15"/>
      <c r="B4" s="15"/>
      <c r="C4" s="15"/>
      <c r="D4" s="15"/>
      <c r="E4" s="15"/>
      <c r="F4" s="15"/>
      <c r="G4" s="15"/>
      <c r="H4" s="15"/>
      <c r="I4" s="15"/>
      <c r="J4" s="15"/>
    </row>
    <row r="5" spans="1:12" ht="19.5" customHeight="1">
      <c r="A5" s="16" t="s">
        <v>134</v>
      </c>
      <c r="B5" s="15"/>
      <c r="C5" s="15"/>
      <c r="D5" s="15"/>
      <c r="E5" s="15"/>
      <c r="F5" s="15"/>
      <c r="G5" s="15"/>
      <c r="H5" s="149" t="s">
        <v>60</v>
      </c>
      <c r="I5" s="149"/>
      <c r="J5" s="149"/>
      <c r="K5" s="17" t="s">
        <v>140</v>
      </c>
      <c r="L5" s="13" t="s">
        <v>136</v>
      </c>
    </row>
    <row r="6" spans="1:12" ht="19.5" customHeight="1">
      <c r="A6" s="16" t="s">
        <v>135</v>
      </c>
      <c r="B6" s="15"/>
      <c r="C6" s="15"/>
      <c r="D6" s="15"/>
      <c r="E6" s="15"/>
      <c r="F6" s="15"/>
      <c r="G6" s="15"/>
      <c r="H6" s="150">
        <v>44476</v>
      </c>
      <c r="I6" s="151"/>
      <c r="J6" s="152"/>
      <c r="K6" s="17" t="s">
        <v>140</v>
      </c>
      <c r="L6" s="13" t="s">
        <v>137</v>
      </c>
    </row>
    <row r="7" spans="1:12">
      <c r="A7" s="15"/>
      <c r="B7" s="15"/>
      <c r="C7" s="15"/>
      <c r="D7" s="15"/>
      <c r="E7" s="15"/>
      <c r="F7" s="15"/>
      <c r="G7" s="15"/>
      <c r="H7" s="15"/>
      <c r="I7" s="15"/>
      <c r="J7" s="15"/>
    </row>
    <row r="8" spans="1:12" ht="19.5" customHeight="1">
      <c r="A8" s="18" t="s">
        <v>4</v>
      </c>
      <c r="B8" s="19" t="s">
        <v>5</v>
      </c>
      <c r="C8" s="15"/>
      <c r="D8" s="15"/>
      <c r="E8" s="15"/>
      <c r="F8" s="15"/>
      <c r="G8" s="15"/>
      <c r="H8" s="15"/>
      <c r="I8" s="15"/>
      <c r="J8" s="8">
        <v>462</v>
      </c>
      <c r="K8" s="17" t="s">
        <v>140</v>
      </c>
      <c r="L8" s="13" t="s">
        <v>138</v>
      </c>
    </row>
    <row r="9" spans="1:12" ht="19.5" customHeight="1">
      <c r="A9" s="18" t="s">
        <v>7</v>
      </c>
      <c r="B9" s="19" t="s">
        <v>6</v>
      </c>
      <c r="C9" s="15"/>
      <c r="D9" s="15"/>
      <c r="E9" s="15"/>
      <c r="F9" s="15"/>
      <c r="G9" s="15"/>
      <c r="H9" s="15"/>
      <c r="I9" s="15"/>
      <c r="J9" s="9">
        <v>249.4</v>
      </c>
      <c r="K9" s="17" t="s">
        <v>140</v>
      </c>
      <c r="L9" s="13" t="s">
        <v>139</v>
      </c>
    </row>
    <row r="10" spans="1:12" ht="19.5" customHeight="1" thickBot="1">
      <c r="A10" s="18" t="s">
        <v>8</v>
      </c>
      <c r="B10" s="19" t="s">
        <v>9</v>
      </c>
      <c r="C10" s="15"/>
      <c r="D10" s="15"/>
      <c r="E10" s="15"/>
      <c r="F10" s="15"/>
      <c r="G10" s="15"/>
      <c r="H10" s="15"/>
      <c r="I10" s="15"/>
      <c r="J10" s="20">
        <f>J8+J9</f>
        <v>711.4</v>
      </c>
      <c r="K10" s="21" t="s">
        <v>142</v>
      </c>
      <c r="L10" s="22" t="s">
        <v>141</v>
      </c>
    </row>
    <row r="11" spans="1:12" ht="24" customHeight="1" thickTop="1">
      <c r="A11" s="18" t="s">
        <v>10</v>
      </c>
      <c r="B11" s="19" t="s">
        <v>11</v>
      </c>
      <c r="C11" s="15"/>
      <c r="D11" s="15"/>
      <c r="E11" s="15"/>
      <c r="F11" s="15"/>
      <c r="G11" s="15"/>
      <c r="H11" s="15"/>
      <c r="I11" s="15"/>
      <c r="J11" s="23">
        <f>$J$8/$J$10</f>
        <v>0.64942367163339898</v>
      </c>
      <c r="K11" s="21" t="s">
        <v>142</v>
      </c>
      <c r="L11" s="22" t="s">
        <v>143</v>
      </c>
    </row>
    <row r="12" spans="1:12" ht="24" customHeight="1">
      <c r="A12" s="18" t="s">
        <v>12</v>
      </c>
      <c r="B12" s="19" t="s">
        <v>13</v>
      </c>
      <c r="C12" s="15"/>
      <c r="D12" s="15"/>
      <c r="E12" s="15"/>
      <c r="F12" s="15"/>
      <c r="G12" s="15"/>
      <c r="H12" s="15"/>
      <c r="I12" s="15"/>
      <c r="J12" s="24">
        <f>VLOOKUP($H$5,Fall2021_ComplianceFON,7,FALSE)</f>
        <v>416.78919999999999</v>
      </c>
      <c r="K12" s="21" t="s">
        <v>142</v>
      </c>
      <c r="L12" s="13" t="s">
        <v>144</v>
      </c>
    </row>
    <row r="13" spans="1:12" ht="19.5" customHeight="1">
      <c r="A13" s="18" t="s">
        <v>15</v>
      </c>
      <c r="B13" s="19" t="s">
        <v>14</v>
      </c>
      <c r="C13" s="15"/>
      <c r="D13" s="15"/>
      <c r="E13" s="15"/>
      <c r="F13" s="15"/>
      <c r="G13" s="15"/>
      <c r="H13" s="15"/>
      <c r="I13" s="15"/>
      <c r="J13" s="25">
        <f>$J$8-$J$12</f>
        <v>45.210800000000006</v>
      </c>
      <c r="K13" s="21" t="s">
        <v>142</v>
      </c>
      <c r="L13" s="13" t="s">
        <v>145</v>
      </c>
    </row>
    <row r="14" spans="1:12">
      <c r="A14" s="15"/>
      <c r="B14" s="15"/>
      <c r="C14" s="15"/>
      <c r="D14" s="15"/>
      <c r="E14" s="15"/>
      <c r="F14" s="15"/>
      <c r="G14" s="15"/>
      <c r="H14" s="15"/>
      <c r="I14" s="15"/>
      <c r="J14" s="15"/>
    </row>
    <row r="15" spans="1:12">
      <c r="A15" s="16" t="s">
        <v>16</v>
      </c>
      <c r="B15" s="15"/>
      <c r="C15" s="15"/>
      <c r="D15" s="15"/>
      <c r="E15" s="15"/>
      <c r="F15" s="15"/>
      <c r="G15" s="15"/>
      <c r="H15" s="15"/>
      <c r="I15" s="15"/>
      <c r="J15" s="15"/>
    </row>
    <row r="16" spans="1:12" ht="46.5" customHeight="1">
      <c r="A16" s="145" t="s">
        <v>157</v>
      </c>
      <c r="B16" s="146"/>
      <c r="C16" s="146"/>
      <c r="D16" s="146"/>
      <c r="E16" s="146"/>
      <c r="F16" s="146"/>
      <c r="G16" s="146"/>
      <c r="H16" s="146"/>
      <c r="I16" s="146"/>
      <c r="J16" s="146"/>
    </row>
    <row r="17" spans="1:12">
      <c r="A17" s="18" t="s">
        <v>18</v>
      </c>
      <c r="B17" s="19" t="s">
        <v>17</v>
      </c>
      <c r="C17" s="15"/>
      <c r="D17" s="15"/>
      <c r="E17" s="15"/>
      <c r="F17" s="15"/>
      <c r="G17" s="15"/>
      <c r="H17" s="15"/>
      <c r="I17" s="15"/>
      <c r="J17" s="15"/>
    </row>
    <row r="18" spans="1:12" ht="19.5" customHeight="1">
      <c r="A18" s="18"/>
      <c r="B18" s="26" t="s">
        <v>19</v>
      </c>
      <c r="C18" s="15"/>
      <c r="D18" s="15"/>
      <c r="E18" s="15"/>
      <c r="F18" s="15"/>
      <c r="G18" s="15"/>
      <c r="H18" s="15"/>
      <c r="I18" s="153" t="str">
        <f>IF(J13&gt;=0,"In Compliance","Noncompliant")</f>
        <v>In Compliance</v>
      </c>
      <c r="J18" s="153"/>
      <c r="K18" s="21" t="s">
        <v>142</v>
      </c>
      <c r="L18" s="13" t="s">
        <v>148</v>
      </c>
    </row>
    <row r="19" spans="1:12" ht="19.5" customHeight="1">
      <c r="A19" s="18"/>
      <c r="B19" s="19" t="s">
        <v>20</v>
      </c>
      <c r="C19" s="15"/>
      <c r="D19" s="15"/>
      <c r="E19" s="15"/>
      <c r="F19" s="15"/>
      <c r="G19" s="15"/>
      <c r="H19" s="15"/>
      <c r="I19" s="153" t="str">
        <f>IF(J11&gt;=J21,"In Compliance","Noncompliant")</f>
        <v>In Compliance</v>
      </c>
      <c r="J19" s="153"/>
      <c r="K19" s="21" t="s">
        <v>142</v>
      </c>
      <c r="L19" s="13" t="s">
        <v>146</v>
      </c>
    </row>
    <row r="20" spans="1:12" ht="19.5" customHeight="1">
      <c r="A20" s="18"/>
      <c r="B20" s="19" t="s">
        <v>21</v>
      </c>
      <c r="C20" s="15"/>
      <c r="D20" s="15"/>
      <c r="E20" s="15"/>
      <c r="F20" s="15"/>
      <c r="G20" s="15"/>
      <c r="H20" s="15"/>
      <c r="I20" s="153" t="str">
        <f>IF(J8&gt;=J22,"In Compliance","Noncompliant")</f>
        <v>In Compliance</v>
      </c>
      <c r="J20" s="153"/>
      <c r="K20" s="21" t="s">
        <v>142</v>
      </c>
      <c r="L20" s="13" t="s">
        <v>147</v>
      </c>
    </row>
    <row r="21" spans="1:12" ht="19.5" customHeight="1">
      <c r="A21" s="18" t="s">
        <v>22</v>
      </c>
      <c r="B21" s="19" t="s">
        <v>23</v>
      </c>
      <c r="C21" s="15"/>
      <c r="D21" s="15"/>
      <c r="E21" s="15"/>
      <c r="F21" s="15"/>
      <c r="G21" s="15"/>
      <c r="H21" s="15"/>
      <c r="I21" s="15"/>
      <c r="J21" s="131">
        <f>VLOOKUP($H$5,Fall2021_ComplianceFON,2,FALSE)</f>
        <v>0.64180154820548907</v>
      </c>
      <c r="K21" s="21" t="s">
        <v>142</v>
      </c>
      <c r="L21" s="13" t="s">
        <v>149</v>
      </c>
    </row>
    <row r="22" spans="1:12" ht="19.5" customHeight="1">
      <c r="A22" s="18" t="s">
        <v>25</v>
      </c>
      <c r="B22" s="19" t="s">
        <v>24</v>
      </c>
      <c r="C22" s="15"/>
      <c r="D22" s="15"/>
      <c r="E22" s="15"/>
      <c r="F22" s="15"/>
      <c r="G22" s="15"/>
      <c r="H22" s="15"/>
      <c r="I22" s="15"/>
      <c r="J22" s="79">
        <f>VLOOKUP($H$5,Fall2021_ComplianceFON,3,FALSE)</f>
        <v>428.78919999999999</v>
      </c>
      <c r="K22" s="21" t="s">
        <v>142</v>
      </c>
      <c r="L22" s="13" t="s">
        <v>150</v>
      </c>
    </row>
    <row r="23" spans="1:12">
      <c r="A23" s="15"/>
      <c r="B23" s="15"/>
      <c r="C23" s="15"/>
      <c r="D23" s="15"/>
      <c r="E23" s="15"/>
      <c r="F23" s="15"/>
      <c r="G23" s="15"/>
      <c r="H23" s="15"/>
      <c r="I23" s="15"/>
      <c r="J23" s="15"/>
    </row>
    <row r="24" spans="1:12">
      <c r="A24" s="16" t="s">
        <v>26</v>
      </c>
      <c r="B24" s="15"/>
      <c r="C24" s="15"/>
      <c r="D24" s="15"/>
      <c r="E24" s="15"/>
      <c r="F24" s="15"/>
      <c r="G24" s="15"/>
      <c r="H24" s="15"/>
      <c r="I24" s="15"/>
      <c r="J24" s="15"/>
    </row>
    <row r="25" spans="1:12" ht="45.75" customHeight="1">
      <c r="A25" s="145" t="s">
        <v>27</v>
      </c>
      <c r="B25" s="145"/>
      <c r="C25" s="145"/>
      <c r="D25" s="145"/>
      <c r="E25" s="145"/>
      <c r="F25" s="145"/>
      <c r="G25" s="145"/>
      <c r="H25" s="145"/>
      <c r="I25" s="145"/>
      <c r="J25" s="145"/>
    </row>
    <row r="26" spans="1:12" ht="21.75" customHeight="1">
      <c r="A26" s="18" t="s">
        <v>29</v>
      </c>
      <c r="B26" s="15" t="s">
        <v>28</v>
      </c>
      <c r="C26" s="15"/>
      <c r="D26" s="15"/>
      <c r="E26" s="15"/>
      <c r="F26" s="15"/>
      <c r="G26" s="15"/>
      <c r="H26" s="15"/>
      <c r="I26" s="27"/>
      <c r="J26" s="28">
        <f>ReplacementCost!$B$28</f>
        <v>86771</v>
      </c>
      <c r="K26" s="21" t="s">
        <v>142</v>
      </c>
      <c r="L26" s="13" t="s">
        <v>151</v>
      </c>
    </row>
    <row r="27" spans="1:12" ht="19.5" customHeight="1">
      <c r="A27" s="18" t="s">
        <v>31</v>
      </c>
      <c r="B27" s="15" t="s">
        <v>30</v>
      </c>
      <c r="C27" s="15"/>
      <c r="D27" s="15"/>
      <c r="E27" s="15"/>
      <c r="F27" s="15"/>
      <c r="G27" s="15"/>
      <c r="H27" s="15"/>
      <c r="I27" s="143">
        <f>IF($I$18="In Compliance",0,IF($I$19="In Compliance",0,IF($I$20="In Compliance",0,ROUND(-$J$13*$J$26,0))))</f>
        <v>0</v>
      </c>
      <c r="J27" s="144"/>
      <c r="K27" s="21" t="s">
        <v>142</v>
      </c>
      <c r="L27" s="13" t="s">
        <v>152</v>
      </c>
    </row>
    <row r="28" spans="1:12" ht="36.75" customHeight="1">
      <c r="A28" s="147" t="s">
        <v>32</v>
      </c>
      <c r="B28" s="147"/>
      <c r="C28" s="147"/>
      <c r="D28" s="147"/>
      <c r="E28" s="147"/>
      <c r="F28" s="147"/>
      <c r="G28" s="147"/>
      <c r="H28" s="147"/>
      <c r="I28" s="147"/>
      <c r="J28" s="147"/>
    </row>
    <row r="29" spans="1:12">
      <c r="A29" s="15"/>
      <c r="B29" s="15"/>
      <c r="C29" s="15"/>
      <c r="D29" s="15"/>
      <c r="E29" s="15"/>
      <c r="F29" s="15"/>
      <c r="G29" s="15"/>
      <c r="H29" s="15"/>
      <c r="I29" s="15"/>
      <c r="J29" s="15"/>
    </row>
    <row r="30" spans="1:12">
      <c r="A30" s="16" t="s">
        <v>33</v>
      </c>
      <c r="B30" s="15"/>
      <c r="C30" s="15"/>
      <c r="D30" s="15"/>
      <c r="E30" s="15"/>
      <c r="F30" s="15"/>
      <c r="G30" s="15"/>
      <c r="H30" s="15"/>
      <c r="I30" s="15"/>
      <c r="J30" s="15"/>
    </row>
    <row r="31" spans="1:12" ht="20.25" customHeight="1">
      <c r="A31" s="16" t="s">
        <v>126</v>
      </c>
      <c r="B31" s="15"/>
      <c r="C31" s="15"/>
      <c r="D31" s="15"/>
      <c r="E31" s="15"/>
      <c r="F31" s="15"/>
      <c r="G31" s="15"/>
      <c r="H31" s="15"/>
      <c r="I31" s="15"/>
      <c r="J31" s="15"/>
    </row>
    <row r="32" spans="1:12" ht="18.75" customHeight="1">
      <c r="A32" s="15"/>
      <c r="B32" s="18" t="s">
        <v>132</v>
      </c>
      <c r="C32" s="148"/>
      <c r="D32" s="148"/>
      <c r="E32" s="148"/>
      <c r="F32" s="148"/>
      <c r="G32" s="148"/>
      <c r="H32" s="148"/>
      <c r="I32" s="10"/>
      <c r="J32" s="10"/>
    </row>
    <row r="33" spans="1:12" ht="19.5" customHeight="1">
      <c r="A33" s="15"/>
      <c r="B33" s="18" t="s">
        <v>128</v>
      </c>
      <c r="C33" s="142"/>
      <c r="D33" s="142"/>
      <c r="E33" s="142"/>
      <c r="F33" s="142"/>
      <c r="G33" s="10" t="s">
        <v>129</v>
      </c>
      <c r="H33" s="154"/>
      <c r="I33" s="154"/>
      <c r="J33" s="154"/>
    </row>
    <row r="34" spans="1:12">
      <c r="A34" s="15"/>
      <c r="B34" s="15"/>
      <c r="C34" s="10"/>
      <c r="D34" s="10"/>
      <c r="E34" s="10"/>
      <c r="F34" s="10"/>
      <c r="G34" s="10"/>
      <c r="H34" s="10"/>
      <c r="I34" s="10"/>
      <c r="J34" s="10"/>
    </row>
    <row r="35" spans="1:12" ht="22.5" customHeight="1">
      <c r="A35" s="29" t="s">
        <v>130</v>
      </c>
      <c r="B35" s="30"/>
      <c r="C35" s="11"/>
      <c r="D35" s="11"/>
      <c r="E35" s="11"/>
      <c r="F35" s="11"/>
      <c r="G35" s="11"/>
      <c r="H35" s="11"/>
      <c r="I35" s="11"/>
      <c r="J35" s="11"/>
    </row>
    <row r="36" spans="1:12">
      <c r="A36" s="31" t="s">
        <v>131</v>
      </c>
      <c r="B36" s="15"/>
      <c r="C36" s="10"/>
      <c r="D36" s="10"/>
      <c r="E36" s="10"/>
      <c r="F36" s="10"/>
      <c r="G36" s="10"/>
      <c r="H36" s="10"/>
      <c r="I36" s="10"/>
      <c r="J36" s="10"/>
    </row>
    <row r="37" spans="1:12" ht="38.25" customHeight="1">
      <c r="A37" s="156" t="s">
        <v>154</v>
      </c>
      <c r="B37" s="156"/>
      <c r="C37" s="148"/>
      <c r="D37" s="148"/>
      <c r="E37" s="148"/>
      <c r="F37" s="148"/>
      <c r="G37" s="148"/>
      <c r="H37" s="148"/>
      <c r="I37" s="10"/>
      <c r="J37" s="10"/>
      <c r="K37" s="32" t="s">
        <v>155</v>
      </c>
      <c r="L37" s="13" t="s">
        <v>156</v>
      </c>
    </row>
    <row r="38" spans="1:12" ht="18.75" customHeight="1">
      <c r="A38" s="15"/>
      <c r="B38" s="18" t="s">
        <v>127</v>
      </c>
      <c r="C38" s="142"/>
      <c r="D38" s="142"/>
      <c r="E38" s="142"/>
      <c r="F38" s="142"/>
      <c r="G38" s="142"/>
      <c r="H38" s="12" t="s">
        <v>3</v>
      </c>
      <c r="I38" s="155"/>
      <c r="J38" s="155"/>
      <c r="L38" s="13" t="s">
        <v>153</v>
      </c>
    </row>
  </sheetData>
  <sheetProtection sheet="1" objects="1" scenarios="1"/>
  <mergeCells count="19">
    <mergeCell ref="I38:J38"/>
    <mergeCell ref="A37:B37"/>
    <mergeCell ref="C38:G38"/>
    <mergeCell ref="C37:H37"/>
    <mergeCell ref="A1:J1"/>
    <mergeCell ref="A2:J2"/>
    <mergeCell ref="A3:J3"/>
    <mergeCell ref="C33:F33"/>
    <mergeCell ref="I27:J27"/>
    <mergeCell ref="A16:J16"/>
    <mergeCell ref="A25:J25"/>
    <mergeCell ref="A28:J28"/>
    <mergeCell ref="C32:H32"/>
    <mergeCell ref="H5:J5"/>
    <mergeCell ref="H6:J6"/>
    <mergeCell ref="I18:J18"/>
    <mergeCell ref="I19:J19"/>
    <mergeCell ref="I20:J20"/>
    <mergeCell ref="H33:J33"/>
  </mergeCells>
  <conditionalFormatting sqref="I27:J27">
    <cfRule type="cellIs" dxfId="43" priority="2" operator="greaterThan">
      <formula>0</formula>
    </cfRule>
  </conditionalFormatting>
  <conditionalFormatting sqref="I18:J20">
    <cfRule type="containsText" dxfId="42" priority="1" operator="containsText" text="Noncompliant">
      <formula>NOT(ISERROR(SEARCH("Noncompliant",I18)))</formula>
    </cfRule>
  </conditionalFormatting>
  <pageMargins left="0.7" right="0.7" top="0.75" bottom="0.75" header="0.3" footer="0.3"/>
  <pageSetup scale="85" fitToWidth="0" orientation="portrait" r:id="rId1"/>
  <colBreaks count="1" manualBreakCount="1">
    <brk id="10" max="1048575" man="1"/>
  </colBreaks>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'Fall 2021 Compliance FON'!$B$4:$B$75</xm:f>
          </x14:formula1>
          <xm:sqref>H5:J5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E15"/>
  <sheetViews>
    <sheetView showGridLines="0" zoomScaleNormal="100" workbookViewId="0">
      <selection activeCell="D5" sqref="D5"/>
    </sheetView>
  </sheetViews>
  <sheetFormatPr defaultColWidth="8.85546875" defaultRowHeight="15"/>
  <cols>
    <col min="1" max="1" width="8.85546875" style="33"/>
    <col min="2" max="2" width="32.7109375" style="33" customWidth="1"/>
    <col min="3" max="3" width="64.7109375" style="35" bestFit="1" customWidth="1"/>
    <col min="4" max="4" width="92.140625" style="34" customWidth="1"/>
    <col min="5" max="5" width="64" style="34" customWidth="1"/>
    <col min="6" max="6" width="52.85546875" style="33" customWidth="1"/>
    <col min="7" max="16384" width="8.85546875" style="33"/>
  </cols>
  <sheetData>
    <row r="2" spans="1:5" ht="25.9" customHeight="1" thickBot="1">
      <c r="A2" s="41"/>
      <c r="B2" s="49" t="s">
        <v>179</v>
      </c>
      <c r="C2" s="48"/>
      <c r="D2" s="47"/>
      <c r="E2" s="47"/>
    </row>
    <row r="3" spans="1:5" s="42" customFormat="1" ht="15.75" thickBot="1">
      <c r="A3" s="46"/>
      <c r="B3" s="45" t="s">
        <v>178</v>
      </c>
      <c r="C3" s="44" t="s">
        <v>177</v>
      </c>
      <c r="D3" s="43" t="s">
        <v>176</v>
      </c>
    </row>
    <row r="4" spans="1:5" ht="45">
      <c r="A4" s="41"/>
      <c r="B4" s="40" t="s">
        <v>175</v>
      </c>
      <c r="C4" s="39" t="s">
        <v>174</v>
      </c>
      <c r="D4" s="39" t="s">
        <v>173</v>
      </c>
      <c r="E4" s="33"/>
    </row>
    <row r="5" spans="1:5" ht="45">
      <c r="A5" s="41"/>
      <c r="B5" s="40" t="s">
        <v>172</v>
      </c>
      <c r="C5" s="39" t="s">
        <v>171</v>
      </c>
      <c r="D5" s="39" t="s">
        <v>237</v>
      </c>
      <c r="E5" s="33"/>
    </row>
    <row r="6" spans="1:5" ht="60">
      <c r="A6" s="41"/>
      <c r="B6" s="40" t="s">
        <v>170</v>
      </c>
      <c r="C6" s="39" t="s">
        <v>232</v>
      </c>
      <c r="D6" s="39" t="s">
        <v>169</v>
      </c>
      <c r="E6" s="33"/>
    </row>
    <row r="7" spans="1:5" ht="30">
      <c r="A7" s="41"/>
      <c r="B7" s="40" t="s">
        <v>168</v>
      </c>
      <c r="C7" s="39" t="s">
        <v>167</v>
      </c>
      <c r="D7" s="39" t="s">
        <v>166</v>
      </c>
      <c r="E7" s="33"/>
    </row>
    <row r="8" spans="1:5" ht="90">
      <c r="A8" s="41"/>
      <c r="B8" s="40" t="s">
        <v>165</v>
      </c>
      <c r="C8" s="39" t="s">
        <v>164</v>
      </c>
      <c r="D8" s="39" t="s">
        <v>158</v>
      </c>
      <c r="E8" s="33"/>
    </row>
    <row r="9" spans="1:5" ht="60">
      <c r="A9" s="41"/>
      <c r="B9" s="40" t="s">
        <v>163</v>
      </c>
      <c r="C9" s="39" t="s">
        <v>162</v>
      </c>
      <c r="D9" s="39" t="s">
        <v>158</v>
      </c>
      <c r="E9" s="33"/>
    </row>
    <row r="10" spans="1:5" ht="30">
      <c r="A10" s="41"/>
      <c r="B10" s="40" t="s">
        <v>161</v>
      </c>
      <c r="C10" s="39" t="s">
        <v>238</v>
      </c>
      <c r="D10" s="39" t="s">
        <v>158</v>
      </c>
      <c r="E10" s="33"/>
    </row>
    <row r="11" spans="1:5" ht="60">
      <c r="A11" s="41"/>
      <c r="B11" s="40" t="s">
        <v>160</v>
      </c>
      <c r="C11" s="39" t="s">
        <v>159</v>
      </c>
      <c r="D11" s="39" t="s">
        <v>158</v>
      </c>
      <c r="E11" s="33"/>
    </row>
    <row r="12" spans="1:5">
      <c r="B12" s="38"/>
      <c r="C12" s="37"/>
      <c r="D12" s="36"/>
      <c r="E12" s="36"/>
    </row>
    <row r="13" spans="1:5">
      <c r="B13" s="38"/>
      <c r="C13" s="37"/>
      <c r="D13" s="36"/>
      <c r="E13" s="36"/>
    </row>
    <row r="14" spans="1:5">
      <c r="B14" s="38"/>
      <c r="C14" s="37"/>
      <c r="D14" s="36"/>
      <c r="E14" s="36"/>
    </row>
    <row r="15" spans="1:5">
      <c r="B15" s="38"/>
      <c r="C15" s="37"/>
      <c r="D15" s="36"/>
      <c r="E15" s="36"/>
    </row>
  </sheetData>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EO78"/>
  <sheetViews>
    <sheetView zoomScaleNormal="100" zoomScaleSheetLayoutView="70" workbookViewId="0">
      <pane xSplit="2" ySplit="3" topLeftCell="C4" activePane="bottomRight" state="frozen"/>
      <selection pane="topRight" activeCell="C1" sqref="C1"/>
      <selection pane="bottomLeft" activeCell="A4" sqref="A4"/>
      <selection pane="bottomRight" activeCell="C35" sqref="C35"/>
    </sheetView>
  </sheetViews>
  <sheetFormatPr defaultColWidth="8.85546875" defaultRowHeight="15"/>
  <cols>
    <col min="1" max="1" width="8.85546875" style="50"/>
    <col min="2" max="3" width="20.7109375" style="67" customWidth="1"/>
    <col min="4" max="4" width="18" style="50" customWidth="1"/>
    <col min="5" max="5" width="16" style="50" customWidth="1"/>
    <col min="6" max="7" width="17" style="50" customWidth="1"/>
    <col min="8" max="8" width="18.7109375" style="50" customWidth="1"/>
    <col min="9" max="16384" width="8.85546875" style="50"/>
  </cols>
  <sheetData>
    <row r="2" spans="2:8" ht="15" customHeight="1">
      <c r="B2" s="68" t="s">
        <v>208</v>
      </c>
      <c r="C2" s="68"/>
    </row>
    <row r="3" spans="2:8" s="69" customFormat="1" ht="58.5" customHeight="1" thickBot="1">
      <c r="B3" s="70" t="s">
        <v>207</v>
      </c>
      <c r="C3" s="70" t="s">
        <v>221</v>
      </c>
      <c r="D3" s="70" t="s">
        <v>34</v>
      </c>
      <c r="E3" s="70" t="s">
        <v>35</v>
      </c>
      <c r="F3" s="70" t="s">
        <v>36</v>
      </c>
      <c r="G3" s="70" t="s">
        <v>37</v>
      </c>
      <c r="H3" s="70" t="s">
        <v>38</v>
      </c>
    </row>
    <row r="4" spans="2:8">
      <c r="B4" s="71" t="s">
        <v>39</v>
      </c>
      <c r="C4" s="127">
        <v>0.55966630395357275</v>
      </c>
      <c r="D4" s="72">
        <v>127.6241</v>
      </c>
      <c r="E4" s="72">
        <v>154.30000000000001</v>
      </c>
      <c r="F4" s="72">
        <v>129.6241</v>
      </c>
      <c r="G4" s="72">
        <v>139.6241</v>
      </c>
      <c r="H4" s="72">
        <v>129.6241</v>
      </c>
    </row>
    <row r="5" spans="2:8">
      <c r="B5" s="73" t="s">
        <v>40</v>
      </c>
      <c r="C5" s="128">
        <v>0.52163943823445114</v>
      </c>
      <c r="D5" s="74">
        <v>144.36279999999999</v>
      </c>
      <c r="E5" s="74">
        <v>182</v>
      </c>
      <c r="F5" s="74">
        <v>146.36279999999999</v>
      </c>
      <c r="G5" s="74">
        <v>158.36279999999999</v>
      </c>
      <c r="H5" s="74">
        <v>146.36279999999999</v>
      </c>
    </row>
    <row r="6" spans="2:8">
      <c r="B6" s="73" t="s">
        <v>41</v>
      </c>
      <c r="C6" s="128">
        <v>0.43564356435643564</v>
      </c>
      <c r="D6" s="74">
        <v>26.333500000000001</v>
      </c>
      <c r="E6" s="74">
        <v>44</v>
      </c>
      <c r="F6" s="74">
        <v>25.333500000000001</v>
      </c>
      <c r="G6" s="74">
        <v>29.333500000000001</v>
      </c>
      <c r="H6" s="74">
        <v>25.333500000000001</v>
      </c>
    </row>
    <row r="7" spans="2:8">
      <c r="B7" s="73" t="s">
        <v>42</v>
      </c>
      <c r="C7" s="128">
        <v>0.59640031031807605</v>
      </c>
      <c r="D7" s="74">
        <v>146.45410000000001</v>
      </c>
      <c r="E7" s="74">
        <v>192.19</v>
      </c>
      <c r="F7" s="74">
        <v>145.45410000000001</v>
      </c>
      <c r="G7" s="74">
        <v>157.45410000000001</v>
      </c>
      <c r="H7" s="74">
        <v>145.45410000000001</v>
      </c>
    </row>
    <row r="8" spans="2:8">
      <c r="B8" s="73" t="s">
        <v>43</v>
      </c>
      <c r="C8" s="128">
        <v>0.68847583643122667</v>
      </c>
      <c r="D8" s="74">
        <v>160.76750000000001</v>
      </c>
      <c r="E8" s="74">
        <v>185.2</v>
      </c>
      <c r="F8" s="74">
        <v>164.76750000000001</v>
      </c>
      <c r="G8" s="74">
        <v>164.76750000000001</v>
      </c>
      <c r="H8" s="74">
        <v>164.76750000000001</v>
      </c>
    </row>
    <row r="9" spans="2:8">
      <c r="B9" s="73" t="s">
        <v>44</v>
      </c>
      <c r="C9" s="128">
        <v>0.54530271398747387</v>
      </c>
      <c r="D9" s="74">
        <v>256.9939</v>
      </c>
      <c r="E9" s="74">
        <v>261.2</v>
      </c>
      <c r="F9" s="74">
        <v>252.9939</v>
      </c>
      <c r="G9" s="74">
        <v>275.9939</v>
      </c>
      <c r="H9" s="74">
        <v>252.9939</v>
      </c>
    </row>
    <row r="10" spans="2:8">
      <c r="B10" s="73" t="s">
        <v>45</v>
      </c>
      <c r="C10" s="128">
        <v>0.57559781585388814</v>
      </c>
      <c r="D10" s="74">
        <v>284.96730000000002</v>
      </c>
      <c r="E10" s="74">
        <v>305.7</v>
      </c>
      <c r="F10" s="74">
        <v>272.96730000000002</v>
      </c>
      <c r="G10" s="74">
        <v>295.96730000000002</v>
      </c>
      <c r="H10" s="74">
        <v>272.96730000000002</v>
      </c>
    </row>
    <row r="11" spans="2:8">
      <c r="B11" s="73" t="s">
        <v>46</v>
      </c>
      <c r="C11" s="128">
        <v>0.40331299040976465</v>
      </c>
      <c r="D11" s="74">
        <v>225.58510000000001</v>
      </c>
      <c r="E11" s="74">
        <v>231.3</v>
      </c>
      <c r="F11" s="74">
        <v>233.58510000000001</v>
      </c>
      <c r="G11" s="74">
        <v>253.58510000000001</v>
      </c>
      <c r="H11" s="74">
        <v>233.58510000000001</v>
      </c>
    </row>
    <row r="12" spans="2:8">
      <c r="B12" s="73" t="s">
        <v>47</v>
      </c>
      <c r="C12" s="128">
        <v>0.58843890619591555</v>
      </c>
      <c r="D12" s="74">
        <v>166.0453</v>
      </c>
      <c r="E12" s="74">
        <v>170</v>
      </c>
      <c r="F12" s="74">
        <v>162.0453</v>
      </c>
      <c r="G12" s="74">
        <v>174.0453</v>
      </c>
      <c r="H12" s="74">
        <v>162.0453</v>
      </c>
    </row>
    <row r="13" spans="2:8">
      <c r="B13" s="73" t="s">
        <v>48</v>
      </c>
      <c r="C13" s="128">
        <v>0.58588458412354372</v>
      </c>
      <c r="D13" s="74">
        <v>385.86709999999999</v>
      </c>
      <c r="E13" s="74">
        <v>432.5</v>
      </c>
      <c r="F13" s="74">
        <v>365.86709999999999</v>
      </c>
      <c r="G13" s="74">
        <v>397.86709999999999</v>
      </c>
      <c r="H13" s="74">
        <v>365.86709999999999</v>
      </c>
    </row>
    <row r="14" spans="2:8">
      <c r="B14" s="73" t="s">
        <v>49</v>
      </c>
      <c r="C14" s="128">
        <v>0.69084542271135563</v>
      </c>
      <c r="D14" s="74">
        <v>26.951000000000001</v>
      </c>
      <c r="E14" s="74">
        <v>138.1</v>
      </c>
      <c r="F14" s="74">
        <v>25.951000000000001</v>
      </c>
      <c r="G14" s="74">
        <v>28.951000000000001</v>
      </c>
      <c r="H14" s="74">
        <v>25.951000000000001</v>
      </c>
    </row>
    <row r="15" spans="2:8">
      <c r="B15" s="73" t="s">
        <v>50</v>
      </c>
      <c r="C15" s="128">
        <v>0.59559089266353449</v>
      </c>
      <c r="D15" s="74">
        <v>341.01979999999998</v>
      </c>
      <c r="E15" s="74">
        <v>494.4</v>
      </c>
      <c r="F15" s="74">
        <v>337.01979999999998</v>
      </c>
      <c r="G15" s="74">
        <v>366.01979999999998</v>
      </c>
      <c r="H15" s="74">
        <v>337.01979999999998</v>
      </c>
    </row>
    <row r="16" spans="2:8">
      <c r="B16" s="73" t="s">
        <v>209</v>
      </c>
      <c r="C16" s="128">
        <v>0.56590509666080846</v>
      </c>
      <c r="D16" s="74">
        <v>8.6952999999999996</v>
      </c>
      <c r="E16" s="74">
        <v>32.200000000000003</v>
      </c>
      <c r="F16" s="74">
        <v>7.6952999999999996</v>
      </c>
      <c r="G16" s="74">
        <v>8.6952999999999996</v>
      </c>
      <c r="H16" s="74">
        <v>7.6952999999999996</v>
      </c>
    </row>
    <row r="17" spans="2:8">
      <c r="B17" s="73" t="s">
        <v>51</v>
      </c>
      <c r="C17" s="128">
        <v>0.49681767128416315</v>
      </c>
      <c r="D17" s="74">
        <v>116.8176</v>
      </c>
      <c r="E17" s="74">
        <v>132.69999999999999</v>
      </c>
      <c r="F17" s="74">
        <v>120.8176</v>
      </c>
      <c r="G17" s="74">
        <v>130.8176</v>
      </c>
      <c r="H17" s="74">
        <v>120.8176</v>
      </c>
    </row>
    <row r="18" spans="2:8">
      <c r="B18" s="73" t="s">
        <v>52</v>
      </c>
      <c r="C18" s="128">
        <v>0.643611911623439</v>
      </c>
      <c r="D18" s="74">
        <v>319.95920000000001</v>
      </c>
      <c r="E18" s="74">
        <v>335</v>
      </c>
      <c r="F18" s="74">
        <v>312.95920000000001</v>
      </c>
      <c r="G18" s="74">
        <v>338.95920000000001</v>
      </c>
      <c r="H18" s="74">
        <v>312.95920000000001</v>
      </c>
    </row>
    <row r="19" spans="2:8">
      <c r="B19" s="73" t="s">
        <v>53</v>
      </c>
      <c r="C19" s="128">
        <v>0.60114503816793896</v>
      </c>
      <c r="D19" s="74">
        <v>17.3188</v>
      </c>
      <c r="E19" s="74">
        <v>31.5</v>
      </c>
      <c r="F19" s="74">
        <v>17.3188</v>
      </c>
      <c r="G19" s="74">
        <v>18.3188</v>
      </c>
      <c r="H19" s="74">
        <v>17.3188</v>
      </c>
    </row>
    <row r="20" spans="2:8">
      <c r="B20" s="73" t="s">
        <v>54</v>
      </c>
      <c r="C20" s="128">
        <v>0.52933083176985618</v>
      </c>
      <c r="D20" s="74">
        <v>367.55779999999999</v>
      </c>
      <c r="E20" s="74">
        <v>423.2</v>
      </c>
      <c r="F20" s="74">
        <v>358.55779999999999</v>
      </c>
      <c r="G20" s="74">
        <v>384.55779999999999</v>
      </c>
      <c r="H20" s="74">
        <v>358.55779999999999</v>
      </c>
    </row>
    <row r="21" spans="2:8">
      <c r="B21" s="73" t="s">
        <v>55</v>
      </c>
      <c r="C21" s="128">
        <v>0.45968882602545968</v>
      </c>
      <c r="D21" s="74">
        <v>64.532399999999996</v>
      </c>
      <c r="E21" s="74">
        <v>65</v>
      </c>
      <c r="F21" s="74">
        <v>66.532399999999996</v>
      </c>
      <c r="G21" s="74">
        <v>71.532399999999996</v>
      </c>
      <c r="H21" s="74">
        <v>66.532399999999996</v>
      </c>
    </row>
    <row r="22" spans="2:8">
      <c r="B22" s="73" t="s">
        <v>56</v>
      </c>
      <c r="C22" s="128">
        <v>0.62643524699599462</v>
      </c>
      <c r="D22" s="74">
        <v>193.0789</v>
      </c>
      <c r="E22" s="74">
        <v>234.6</v>
      </c>
      <c r="F22" s="74">
        <v>195.0789</v>
      </c>
      <c r="G22" s="74">
        <v>212.0789</v>
      </c>
      <c r="H22" s="74">
        <v>195.0789</v>
      </c>
    </row>
    <row r="23" spans="2:8">
      <c r="B23" s="73" t="s">
        <v>57</v>
      </c>
      <c r="C23" s="128">
        <v>0.56197877179681577</v>
      </c>
      <c r="D23" s="74">
        <v>267.54349999999999</v>
      </c>
      <c r="E23" s="74">
        <v>296.5</v>
      </c>
      <c r="F23" s="74">
        <v>265.54349999999999</v>
      </c>
      <c r="G23" s="74">
        <v>287.54349999999999</v>
      </c>
      <c r="H23" s="74">
        <v>265.54349999999999</v>
      </c>
    </row>
    <row r="24" spans="2:8">
      <c r="B24" s="73" t="s">
        <v>58</v>
      </c>
      <c r="C24" s="128">
        <v>0.59716312056737586</v>
      </c>
      <c r="D24" s="74">
        <v>104.95829999999999</v>
      </c>
      <c r="E24" s="74">
        <v>126.3</v>
      </c>
      <c r="F24" s="74">
        <v>103.95829999999999</v>
      </c>
      <c r="G24" s="74">
        <v>111.95829999999999</v>
      </c>
      <c r="H24" s="74">
        <v>103.95829999999999</v>
      </c>
    </row>
    <row r="25" spans="2:8">
      <c r="B25" s="73" t="s">
        <v>59</v>
      </c>
      <c r="C25" s="128">
        <v>0.64363982848975698</v>
      </c>
      <c r="D25" s="74">
        <v>103.06059999999999</v>
      </c>
      <c r="E25" s="74">
        <v>135.1</v>
      </c>
      <c r="F25" s="74">
        <v>102.06059999999999</v>
      </c>
      <c r="G25" s="74">
        <v>111.06059999999999</v>
      </c>
      <c r="H25" s="74">
        <v>102.06059999999999</v>
      </c>
    </row>
    <row r="26" spans="2:8">
      <c r="B26" s="73" t="s">
        <v>60</v>
      </c>
      <c r="C26" s="128">
        <v>0.64180154820548907</v>
      </c>
      <c r="D26" s="74">
        <v>428.78919999999999</v>
      </c>
      <c r="E26" s="74">
        <v>456</v>
      </c>
      <c r="F26" s="74">
        <v>416.78919999999999</v>
      </c>
      <c r="G26" s="74">
        <v>451.78919999999999</v>
      </c>
      <c r="H26" s="74">
        <v>416.78919999999999</v>
      </c>
    </row>
    <row r="27" spans="2:8">
      <c r="B27" s="73" t="s">
        <v>61</v>
      </c>
      <c r="C27" s="128">
        <v>0.38678223185265442</v>
      </c>
      <c r="D27" s="74">
        <v>16.559999999999999</v>
      </c>
      <c r="E27" s="74">
        <v>35.700000000000003</v>
      </c>
      <c r="F27" s="74">
        <v>15.559999999999999</v>
      </c>
      <c r="G27" s="74">
        <v>16.559999999999999</v>
      </c>
      <c r="H27" s="74">
        <v>15.559999999999999</v>
      </c>
    </row>
    <row r="28" spans="2:8">
      <c r="B28" s="73" t="s">
        <v>62</v>
      </c>
      <c r="C28" s="128">
        <v>0.77130044843049317</v>
      </c>
      <c r="D28" s="74">
        <v>13.046900000000001</v>
      </c>
      <c r="E28" s="74">
        <v>17.2</v>
      </c>
      <c r="F28" s="74">
        <v>13.046900000000001</v>
      </c>
      <c r="G28" s="74">
        <v>13.046900000000001</v>
      </c>
      <c r="H28" s="74">
        <v>13.046900000000001</v>
      </c>
    </row>
    <row r="29" spans="2:8">
      <c r="B29" s="73" t="s">
        <v>63</v>
      </c>
      <c r="C29" s="128">
        <v>0.58667609118218766</v>
      </c>
      <c r="D29" s="74">
        <v>310.959</v>
      </c>
      <c r="E29" s="74">
        <v>332</v>
      </c>
      <c r="F29" s="74">
        <v>311.959</v>
      </c>
      <c r="G29" s="74">
        <v>344.959</v>
      </c>
      <c r="H29" s="74">
        <v>311.959</v>
      </c>
    </row>
    <row r="30" spans="2:8">
      <c r="B30" s="73" t="s">
        <v>64</v>
      </c>
      <c r="C30" s="128">
        <v>0.6736318407960199</v>
      </c>
      <c r="D30" s="74">
        <v>1423.7841000000001</v>
      </c>
      <c r="E30" s="74">
        <v>1557.1</v>
      </c>
      <c r="F30" s="74">
        <v>1411.7841000000001</v>
      </c>
      <c r="G30" s="74">
        <v>1466.7841000000001</v>
      </c>
      <c r="H30" s="74">
        <v>1411.7841000000001</v>
      </c>
    </row>
    <row r="31" spans="2:8">
      <c r="B31" s="73" t="s">
        <v>65</v>
      </c>
      <c r="C31" s="128">
        <v>0.73327438844680226</v>
      </c>
      <c r="D31" s="74">
        <v>820.10069999999996</v>
      </c>
      <c r="E31" s="74">
        <v>995.2</v>
      </c>
      <c r="F31" s="74">
        <v>818.10069999999996</v>
      </c>
      <c r="G31" s="74">
        <v>888.10069999999996</v>
      </c>
      <c r="H31" s="74">
        <v>818.10069999999996</v>
      </c>
    </row>
    <row r="32" spans="2:8">
      <c r="B32" s="73" t="s">
        <v>66</v>
      </c>
      <c r="C32" s="128">
        <v>0.64285714285714279</v>
      </c>
      <c r="D32" s="74">
        <v>52.504600000000003</v>
      </c>
      <c r="E32" s="74">
        <v>107.1</v>
      </c>
      <c r="F32" s="74">
        <v>49.504600000000003</v>
      </c>
      <c r="G32" s="74">
        <v>53.504600000000003</v>
      </c>
      <c r="H32" s="74">
        <v>49.504600000000003</v>
      </c>
    </row>
    <row r="33" spans="2:8">
      <c r="B33" s="73" t="s">
        <v>67</v>
      </c>
      <c r="C33" s="128">
        <v>0.52389705882352944</v>
      </c>
      <c r="D33" s="74">
        <v>35.740099999999998</v>
      </c>
      <c r="E33" s="74">
        <v>57</v>
      </c>
      <c r="F33" s="74">
        <v>36.740099999999998</v>
      </c>
      <c r="G33" s="74">
        <v>36.740099999999998</v>
      </c>
      <c r="H33" s="74">
        <v>36.740099999999998</v>
      </c>
    </row>
    <row r="34" spans="2:8">
      <c r="B34" s="73" t="s">
        <v>68</v>
      </c>
      <c r="C34" s="128">
        <v>0.6372893258426966</v>
      </c>
      <c r="D34" s="74">
        <v>164.74430000000001</v>
      </c>
      <c r="E34" s="74">
        <v>181.5</v>
      </c>
      <c r="F34" s="74">
        <v>167.74430000000001</v>
      </c>
      <c r="G34" s="74">
        <v>183.74430000000001</v>
      </c>
      <c r="H34" s="74">
        <v>167.74430000000001</v>
      </c>
    </row>
    <row r="35" spans="2:8">
      <c r="B35" s="73" t="s">
        <v>210</v>
      </c>
      <c r="C35" s="128">
        <v>0.52064631956912033</v>
      </c>
      <c r="D35" s="74">
        <v>148.2406</v>
      </c>
      <c r="E35" s="74">
        <v>203</v>
      </c>
      <c r="F35" s="74">
        <v>144.2406</v>
      </c>
      <c r="G35" s="74">
        <v>155.2406</v>
      </c>
      <c r="H35" s="74">
        <v>144.2406</v>
      </c>
    </row>
    <row r="36" spans="2:8">
      <c r="B36" s="73" t="s">
        <v>69</v>
      </c>
      <c r="C36" s="128">
        <v>0.52691757979990472</v>
      </c>
      <c r="D36" s="74">
        <v>105.68680000000001</v>
      </c>
      <c r="E36" s="74">
        <v>110.6</v>
      </c>
      <c r="F36" s="74">
        <v>105.68680000000001</v>
      </c>
      <c r="G36" s="74">
        <v>114.68680000000001</v>
      </c>
      <c r="H36" s="74">
        <v>105.68680000000001</v>
      </c>
    </row>
    <row r="37" spans="2:8">
      <c r="B37" s="73" t="s">
        <v>70</v>
      </c>
      <c r="C37" s="128">
        <v>0.51204819277108427</v>
      </c>
      <c r="D37" s="74">
        <v>408.09750000000003</v>
      </c>
      <c r="E37" s="74">
        <v>442</v>
      </c>
      <c r="F37" s="74">
        <v>405.09750000000003</v>
      </c>
      <c r="G37" s="74">
        <v>439.09750000000003</v>
      </c>
      <c r="H37" s="74">
        <v>405.09750000000003</v>
      </c>
    </row>
    <row r="38" spans="2:8">
      <c r="B38" s="73" t="s">
        <v>71</v>
      </c>
      <c r="C38" s="128">
        <v>0.51186017478152313</v>
      </c>
      <c r="D38" s="74">
        <v>140.57810000000001</v>
      </c>
      <c r="E38" s="74">
        <v>205</v>
      </c>
      <c r="F38" s="74">
        <v>145.57810000000001</v>
      </c>
      <c r="G38" s="74">
        <v>156.57810000000001</v>
      </c>
      <c r="H38" s="74">
        <v>145.57810000000001</v>
      </c>
    </row>
    <row r="39" spans="2:8">
      <c r="B39" s="73" t="s">
        <v>72</v>
      </c>
      <c r="C39" s="128">
        <v>0.65069284064665134</v>
      </c>
      <c r="D39" s="74">
        <v>74.383899999999997</v>
      </c>
      <c r="E39" s="74">
        <v>112.7</v>
      </c>
      <c r="F39" s="74">
        <v>72.383899999999997</v>
      </c>
      <c r="G39" s="74">
        <v>78.383899999999997</v>
      </c>
      <c r="H39" s="74">
        <v>72.383899999999997</v>
      </c>
    </row>
    <row r="40" spans="2:8">
      <c r="B40" s="73" t="s">
        <v>73</v>
      </c>
      <c r="C40" s="128">
        <v>0.61852260198456455</v>
      </c>
      <c r="D40" s="74">
        <v>515.17700000000002</v>
      </c>
      <c r="E40" s="74">
        <v>561</v>
      </c>
      <c r="F40" s="74">
        <v>520.17700000000002</v>
      </c>
      <c r="G40" s="74">
        <v>563.17700000000002</v>
      </c>
      <c r="H40" s="74">
        <v>520.17700000000002</v>
      </c>
    </row>
    <row r="41" spans="2:8">
      <c r="B41" s="73" t="s">
        <v>74</v>
      </c>
      <c r="C41" s="128">
        <v>0.51541850220264318</v>
      </c>
      <c r="D41" s="74">
        <v>96.644300000000001</v>
      </c>
      <c r="E41" s="74">
        <v>117</v>
      </c>
      <c r="F41" s="74">
        <v>99.644300000000001</v>
      </c>
      <c r="G41" s="74">
        <v>106.6443</v>
      </c>
      <c r="H41" s="74">
        <v>99.644300000000001</v>
      </c>
    </row>
    <row r="42" spans="2:8">
      <c r="B42" s="73" t="s">
        <v>75</v>
      </c>
      <c r="C42" s="128">
        <v>0.54830287206266326</v>
      </c>
      <c r="D42" s="74">
        <v>23.435300000000002</v>
      </c>
      <c r="E42" s="74">
        <v>42</v>
      </c>
      <c r="F42" s="74">
        <v>23.435300000000002</v>
      </c>
      <c r="G42" s="74">
        <v>25.435300000000002</v>
      </c>
      <c r="H42" s="74">
        <v>23.435300000000002</v>
      </c>
    </row>
    <row r="43" spans="2:8">
      <c r="B43" s="73" t="s">
        <v>76</v>
      </c>
      <c r="C43" s="128">
        <v>0.59518419427865821</v>
      </c>
      <c r="D43" s="74">
        <v>264.1318</v>
      </c>
      <c r="E43" s="74">
        <v>289.2</v>
      </c>
      <c r="F43" s="74">
        <v>255.1318</v>
      </c>
      <c r="G43" s="74">
        <v>284.1318</v>
      </c>
      <c r="H43" s="74">
        <v>255.1318</v>
      </c>
    </row>
    <row r="44" spans="2:8">
      <c r="B44" s="73" t="s">
        <v>211</v>
      </c>
      <c r="C44" s="128">
        <v>0.62399060343561885</v>
      </c>
      <c r="D44" s="74">
        <v>408.36059999999998</v>
      </c>
      <c r="E44" s="74">
        <v>425</v>
      </c>
      <c r="F44" s="74">
        <v>405.36059999999998</v>
      </c>
      <c r="G44" s="74">
        <v>439.36059999999998</v>
      </c>
      <c r="H44" s="74">
        <v>405.36059999999998</v>
      </c>
    </row>
    <row r="45" spans="2:8">
      <c r="B45" s="73" t="s">
        <v>77</v>
      </c>
      <c r="C45" s="128">
        <v>0.6586578293289147</v>
      </c>
      <c r="D45" s="74">
        <v>278.85899999999998</v>
      </c>
      <c r="E45" s="74">
        <v>318</v>
      </c>
      <c r="F45" s="74">
        <v>256.85899999999998</v>
      </c>
      <c r="G45" s="74">
        <v>278.85899999999998</v>
      </c>
      <c r="H45" s="74">
        <v>256.85899999999998</v>
      </c>
    </row>
    <row r="46" spans="2:8">
      <c r="B46" s="73" t="s">
        <v>78</v>
      </c>
      <c r="C46" s="128">
        <v>0.62943983035872064</v>
      </c>
      <c r="D46" s="74">
        <v>322.36529999999999</v>
      </c>
      <c r="E46" s="74">
        <v>356.2</v>
      </c>
      <c r="F46" s="74">
        <v>323.36529999999999</v>
      </c>
      <c r="G46" s="74">
        <v>360.36529999999999</v>
      </c>
      <c r="H46" s="74">
        <v>323.36529999999999</v>
      </c>
    </row>
    <row r="47" spans="2:8">
      <c r="B47" s="73" t="s">
        <v>79</v>
      </c>
      <c r="C47" s="128">
        <v>0.62820512820512819</v>
      </c>
      <c r="D47" s="74">
        <v>56.157499999999999</v>
      </c>
      <c r="E47" s="74">
        <v>73.5</v>
      </c>
      <c r="F47" s="74">
        <v>56.157499999999999</v>
      </c>
      <c r="G47" s="74">
        <v>61.157499999999999</v>
      </c>
      <c r="H47" s="74">
        <v>56.157499999999999</v>
      </c>
    </row>
    <row r="48" spans="2:8">
      <c r="B48" s="73" t="s">
        <v>80</v>
      </c>
      <c r="C48" s="128">
        <v>0.70742637644046102</v>
      </c>
      <c r="D48" s="74">
        <v>206.8244</v>
      </c>
      <c r="E48" s="74">
        <v>221</v>
      </c>
      <c r="F48" s="74">
        <v>205.8244</v>
      </c>
      <c r="G48" s="74">
        <v>222.8244</v>
      </c>
      <c r="H48" s="74">
        <v>205.8244</v>
      </c>
    </row>
    <row r="49" spans="2:8">
      <c r="B49" s="73" t="s">
        <v>81</v>
      </c>
      <c r="C49" s="128">
        <v>0.55644762845849804</v>
      </c>
      <c r="D49" s="74">
        <v>407.35449999999997</v>
      </c>
      <c r="E49" s="74">
        <v>450.5</v>
      </c>
      <c r="F49" s="74">
        <v>402.35449999999997</v>
      </c>
      <c r="G49" s="74">
        <v>436.35449999999997</v>
      </c>
      <c r="H49" s="74">
        <v>402.35449999999997</v>
      </c>
    </row>
    <row r="50" spans="2:8">
      <c r="B50" s="73" t="s">
        <v>82</v>
      </c>
      <c r="C50" s="128">
        <v>0.42474674384949357</v>
      </c>
      <c r="D50" s="74">
        <v>223.38229999999999</v>
      </c>
      <c r="E50" s="74">
        <v>234.8</v>
      </c>
      <c r="F50" s="74">
        <v>221.38229999999999</v>
      </c>
      <c r="G50" s="74">
        <v>238.38229999999999</v>
      </c>
      <c r="H50" s="74">
        <v>221.38229999999999</v>
      </c>
    </row>
    <row r="51" spans="2:8">
      <c r="B51" s="73" t="s">
        <v>83</v>
      </c>
      <c r="C51" s="128">
        <v>0.49683516864649269</v>
      </c>
      <c r="D51" s="74">
        <v>504.00289999999995</v>
      </c>
      <c r="E51" s="74">
        <v>573</v>
      </c>
      <c r="F51" s="74">
        <v>480.00289999999995</v>
      </c>
      <c r="G51" s="74">
        <v>521.00289999999995</v>
      </c>
      <c r="H51" s="74">
        <v>480.00289999999995</v>
      </c>
    </row>
    <row r="52" spans="2:8">
      <c r="B52" s="73" t="s">
        <v>84</v>
      </c>
      <c r="C52" s="128">
        <v>0.71208073612347889</v>
      </c>
      <c r="D52" s="74">
        <v>186.06739999999999</v>
      </c>
      <c r="E52" s="74">
        <v>479.8</v>
      </c>
      <c r="F52" s="74">
        <v>178.06739999999999</v>
      </c>
      <c r="G52" s="74">
        <v>198.06739999999999</v>
      </c>
      <c r="H52" s="74">
        <v>178.06739999999999</v>
      </c>
    </row>
    <row r="53" spans="2:8">
      <c r="B53" s="73" t="s">
        <v>85</v>
      </c>
      <c r="C53" s="128">
        <v>0.6449491930663479</v>
      </c>
      <c r="D53" s="74">
        <v>210.05119999999999</v>
      </c>
      <c r="E53" s="74">
        <v>215.8</v>
      </c>
      <c r="F53" s="74">
        <v>208.05119999999999</v>
      </c>
      <c r="G53" s="74">
        <v>234.05119999999999</v>
      </c>
      <c r="H53" s="74">
        <v>208.05119999999999</v>
      </c>
    </row>
    <row r="54" spans="2:8">
      <c r="B54" s="73" t="s">
        <v>86</v>
      </c>
      <c r="C54" s="128">
        <v>0.611857080743753</v>
      </c>
      <c r="D54" s="74">
        <v>177.82929999999999</v>
      </c>
      <c r="E54" s="74">
        <v>239.23</v>
      </c>
      <c r="F54" s="74">
        <v>181.82929999999999</v>
      </c>
      <c r="G54" s="74">
        <v>196.82929999999999</v>
      </c>
      <c r="H54" s="74">
        <v>181.82929999999999</v>
      </c>
    </row>
    <row r="55" spans="2:8">
      <c r="B55" s="73" t="s">
        <v>87</v>
      </c>
      <c r="C55" s="128">
        <v>0.57209897610921501</v>
      </c>
      <c r="D55" s="74">
        <v>115.1765</v>
      </c>
      <c r="E55" s="74">
        <v>134.1</v>
      </c>
      <c r="F55" s="74">
        <v>113.1765</v>
      </c>
      <c r="G55" s="74">
        <v>119.1765</v>
      </c>
      <c r="H55" s="74">
        <v>113.1765</v>
      </c>
    </row>
    <row r="56" spans="2:8">
      <c r="B56" s="73" t="s">
        <v>88</v>
      </c>
      <c r="C56" s="128">
        <v>0.69203115638106649</v>
      </c>
      <c r="D56" s="74">
        <v>257.73450000000003</v>
      </c>
      <c r="E56" s="74">
        <v>346.5</v>
      </c>
      <c r="F56" s="74">
        <v>249.73450000000003</v>
      </c>
      <c r="G56" s="74">
        <v>271.73450000000003</v>
      </c>
      <c r="H56" s="74">
        <v>249.73450000000003</v>
      </c>
    </row>
    <row r="57" spans="2:8">
      <c r="B57" s="73" t="s">
        <v>89</v>
      </c>
      <c r="C57" s="128">
        <v>0.56571580911756858</v>
      </c>
      <c r="D57" s="74">
        <v>198.14959999999999</v>
      </c>
      <c r="E57" s="74">
        <v>212.2</v>
      </c>
      <c r="F57" s="74">
        <v>195.14959999999999</v>
      </c>
      <c r="G57" s="74">
        <v>209.14959999999999</v>
      </c>
      <c r="H57" s="74">
        <v>195.14959999999999</v>
      </c>
    </row>
    <row r="58" spans="2:8">
      <c r="B58" s="73" t="s">
        <v>90</v>
      </c>
      <c r="C58" s="128">
        <v>0.53173828125</v>
      </c>
      <c r="D58" s="74">
        <v>207.6576</v>
      </c>
      <c r="E58" s="74">
        <v>217.8</v>
      </c>
      <c r="F58" s="74">
        <v>204.6576</v>
      </c>
      <c r="G58" s="74">
        <v>220.6576</v>
      </c>
      <c r="H58" s="74">
        <v>204.6576</v>
      </c>
    </row>
    <row r="59" spans="2:8">
      <c r="B59" s="73" t="s">
        <v>91</v>
      </c>
      <c r="C59" s="128">
        <v>0.52285841100754549</v>
      </c>
      <c r="D59" s="74">
        <v>237.57999999999998</v>
      </c>
      <c r="E59" s="74">
        <v>353.4</v>
      </c>
      <c r="F59" s="74">
        <v>244.57999999999998</v>
      </c>
      <c r="G59" s="74">
        <v>264.58</v>
      </c>
      <c r="H59" s="74">
        <v>244.57999999999998</v>
      </c>
    </row>
    <row r="60" spans="2:8">
      <c r="B60" s="73" t="s">
        <v>92</v>
      </c>
      <c r="C60" s="128">
        <v>0.72910863509749313</v>
      </c>
      <c r="D60" s="74">
        <v>192.28219999999999</v>
      </c>
      <c r="E60" s="74">
        <v>209.4</v>
      </c>
      <c r="F60" s="74">
        <v>190.28219999999999</v>
      </c>
      <c r="G60" s="74">
        <v>206.28219999999999</v>
      </c>
      <c r="H60" s="74">
        <v>190.28219999999999</v>
      </c>
    </row>
    <row r="61" spans="2:8">
      <c r="B61" s="73" t="s">
        <v>93</v>
      </c>
      <c r="C61" s="128">
        <v>0.64145524174246049</v>
      </c>
      <c r="D61" s="74">
        <v>102.30240000000001</v>
      </c>
      <c r="E61" s="74">
        <v>134</v>
      </c>
      <c r="F61" s="74">
        <v>103.30240000000001</v>
      </c>
      <c r="G61" s="74">
        <v>120.30240000000001</v>
      </c>
      <c r="H61" s="74">
        <v>103.30240000000001</v>
      </c>
    </row>
    <row r="62" spans="2:8">
      <c r="B62" s="73" t="s">
        <v>94</v>
      </c>
      <c r="C62" s="128">
        <v>0.51175811870100785</v>
      </c>
      <c r="D62" s="74">
        <v>190.73349999999999</v>
      </c>
      <c r="E62" s="74">
        <v>228.5</v>
      </c>
      <c r="F62" s="74">
        <v>184.73349999999999</v>
      </c>
      <c r="G62" s="74">
        <v>199.73349999999999</v>
      </c>
      <c r="H62" s="74">
        <v>184.73349999999999</v>
      </c>
    </row>
    <row r="63" spans="2:8">
      <c r="B63" s="73" t="s">
        <v>212</v>
      </c>
      <c r="C63" s="128">
        <v>0.53042121684867405</v>
      </c>
      <c r="D63" s="74">
        <v>24.056600000000003</v>
      </c>
      <c r="E63" s="74">
        <v>34</v>
      </c>
      <c r="F63" s="74">
        <v>22.056600000000003</v>
      </c>
      <c r="G63" s="74">
        <v>24.056600000000003</v>
      </c>
      <c r="H63" s="74">
        <v>22.056600000000003</v>
      </c>
    </row>
    <row r="64" spans="2:8">
      <c r="B64" s="73" t="s">
        <v>95</v>
      </c>
      <c r="C64" s="128">
        <v>0.63727839003354103</v>
      </c>
      <c r="D64" s="74">
        <v>119.7518</v>
      </c>
      <c r="E64" s="74">
        <v>133</v>
      </c>
      <c r="F64" s="74">
        <v>113.7518</v>
      </c>
      <c r="G64" s="74">
        <v>123.7518</v>
      </c>
      <c r="H64" s="74">
        <v>113.7518</v>
      </c>
    </row>
    <row r="65" spans="2:145">
      <c r="B65" s="73" t="s">
        <v>213</v>
      </c>
      <c r="C65" s="128">
        <v>0.6914639961850263</v>
      </c>
      <c r="D65" s="74">
        <v>266.63409999999999</v>
      </c>
      <c r="E65" s="74">
        <v>290</v>
      </c>
      <c r="F65" s="74">
        <v>265.63409999999999</v>
      </c>
      <c r="G65" s="74">
        <v>287.63409999999999</v>
      </c>
      <c r="H65" s="74">
        <v>265.63409999999999</v>
      </c>
    </row>
    <row r="66" spans="2:145">
      <c r="B66" s="73" t="s">
        <v>214</v>
      </c>
      <c r="C66" s="128">
        <v>0.52135160303312489</v>
      </c>
      <c r="D66" s="74">
        <v>367.79559999999998</v>
      </c>
      <c r="E66" s="74">
        <v>391.9</v>
      </c>
      <c r="F66" s="74">
        <v>362.79559999999998</v>
      </c>
      <c r="G66" s="74">
        <v>391.79559999999998</v>
      </c>
      <c r="H66" s="74">
        <v>362.79559999999998</v>
      </c>
    </row>
    <row r="67" spans="2:145">
      <c r="B67" s="73" t="s">
        <v>96</v>
      </c>
      <c r="C67" s="128">
        <v>0.50671075666212795</v>
      </c>
      <c r="D67" s="74">
        <v>228.16680000000002</v>
      </c>
      <c r="E67" s="74">
        <v>260.5</v>
      </c>
      <c r="F67" s="74">
        <v>237.16680000000002</v>
      </c>
      <c r="G67" s="74">
        <v>257.16680000000002</v>
      </c>
      <c r="H67" s="74">
        <v>237.16680000000002</v>
      </c>
    </row>
    <row r="68" spans="2:145">
      <c r="B68" s="73" t="s">
        <v>97</v>
      </c>
      <c r="C68" s="128">
        <v>0.61394861038280013</v>
      </c>
      <c r="D68" s="74">
        <v>542.25130000000001</v>
      </c>
      <c r="E68" s="74">
        <v>585.4</v>
      </c>
      <c r="F68" s="74">
        <v>533.25130000000001</v>
      </c>
      <c r="G68" s="74">
        <v>594.25130000000001</v>
      </c>
      <c r="H68" s="74">
        <v>533.25130000000001</v>
      </c>
    </row>
    <row r="69" spans="2:145">
      <c r="B69" s="73" t="s">
        <v>98</v>
      </c>
      <c r="C69" s="128">
        <v>0.63218053927315354</v>
      </c>
      <c r="D69" s="74">
        <v>391.83260000000001</v>
      </c>
      <c r="E69" s="74">
        <v>431.4</v>
      </c>
      <c r="F69" s="74">
        <v>383.83260000000001</v>
      </c>
      <c r="G69" s="74">
        <v>417.83260000000001</v>
      </c>
      <c r="H69" s="74">
        <v>383.83260000000001</v>
      </c>
    </row>
    <row r="70" spans="2:145">
      <c r="B70" s="73" t="s">
        <v>99</v>
      </c>
      <c r="C70" s="128">
        <v>0.36442752243676912</v>
      </c>
      <c r="D70" s="74">
        <v>121.01429999999999</v>
      </c>
      <c r="E70" s="74">
        <v>134</v>
      </c>
      <c r="F70" s="74">
        <v>120.01429999999999</v>
      </c>
      <c r="G70" s="74">
        <v>119.01429999999999</v>
      </c>
      <c r="H70" s="74">
        <v>119.01429999999999</v>
      </c>
    </row>
    <row r="71" spans="2:145">
      <c r="B71" s="73" t="s">
        <v>100</v>
      </c>
      <c r="C71" s="128">
        <v>0.72903225806451621</v>
      </c>
      <c r="D71" s="74">
        <v>82.5732</v>
      </c>
      <c r="E71" s="74">
        <v>90.4</v>
      </c>
      <c r="F71" s="74">
        <v>84.5732</v>
      </c>
      <c r="G71" s="74">
        <v>88.5732</v>
      </c>
      <c r="H71" s="74">
        <v>84.5732</v>
      </c>
    </row>
    <row r="72" spans="2:145">
      <c r="B72" s="73" t="s">
        <v>101</v>
      </c>
      <c r="C72" s="128">
        <v>0.70422535211267601</v>
      </c>
      <c r="D72" s="74">
        <v>58.719900000000003</v>
      </c>
      <c r="E72" s="74">
        <v>60</v>
      </c>
      <c r="F72" s="74">
        <v>57.719900000000003</v>
      </c>
      <c r="G72" s="74">
        <v>62.719900000000003</v>
      </c>
      <c r="H72" s="74">
        <v>57.719900000000003</v>
      </c>
    </row>
    <row r="73" spans="2:145">
      <c r="B73" s="73" t="s">
        <v>102</v>
      </c>
      <c r="C73" s="128">
        <v>0.73930901183860842</v>
      </c>
      <c r="D73" s="74">
        <v>215.1437</v>
      </c>
      <c r="E73" s="74">
        <v>306</v>
      </c>
      <c r="F73" s="74">
        <v>212.1437</v>
      </c>
      <c r="G73" s="74">
        <v>224.1437</v>
      </c>
      <c r="H73" s="74">
        <v>212.1437</v>
      </c>
    </row>
    <row r="74" spans="2:145">
      <c r="B74" s="73" t="s">
        <v>103</v>
      </c>
      <c r="C74" s="128">
        <v>0.64722774464325161</v>
      </c>
      <c r="D74" s="74">
        <v>267.23689999999999</v>
      </c>
      <c r="E74" s="74">
        <v>293</v>
      </c>
      <c r="F74" s="74">
        <v>265.23689999999999</v>
      </c>
      <c r="G74" s="74">
        <v>288.23689999999999</v>
      </c>
      <c r="H74" s="74">
        <v>265.23689999999999</v>
      </c>
    </row>
    <row r="75" spans="2:145" ht="15.75" thickBot="1">
      <c r="B75" s="75" t="s">
        <v>104</v>
      </c>
      <c r="C75" s="129">
        <v>0.55638437911364635</v>
      </c>
      <c r="D75" s="76">
        <v>90.106399999999994</v>
      </c>
      <c r="E75" s="76">
        <v>126.8</v>
      </c>
      <c r="F75" s="76">
        <v>89.106399999999994</v>
      </c>
      <c r="G75" s="76">
        <v>97.106399999999994</v>
      </c>
      <c r="H75" s="76">
        <v>89.106399999999994</v>
      </c>
    </row>
    <row r="76" spans="2:145">
      <c r="B76" s="77" t="s">
        <v>215</v>
      </c>
      <c r="C76" s="130" t="s">
        <v>234</v>
      </c>
      <c r="D76" s="78" t="s">
        <v>216</v>
      </c>
      <c r="E76" s="78" t="s">
        <v>217</v>
      </c>
      <c r="F76" s="78" t="s">
        <v>218</v>
      </c>
      <c r="G76" s="78" t="s">
        <v>219</v>
      </c>
      <c r="H76" s="78" t="s">
        <v>220</v>
      </c>
    </row>
    <row r="78" spans="2:145" s="2" customFormat="1" ht="12.75" customHeight="1">
      <c r="B78" s="3" t="s">
        <v>105</v>
      </c>
      <c r="C78" s="3">
        <v>2</v>
      </c>
      <c r="D78" s="3">
        <v>3</v>
      </c>
      <c r="E78" s="3">
        <v>4</v>
      </c>
      <c r="F78" s="3">
        <v>5</v>
      </c>
      <c r="G78" s="3">
        <v>6</v>
      </c>
      <c r="H78" s="3">
        <v>7</v>
      </c>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row>
  </sheetData>
  <sheetProtection sheet="1" objects="1" scenarios="1"/>
  <printOptions horizontalCentered="1"/>
  <pageMargins left="0.7" right="0.7" top="0.75" bottom="0.75" header="0.3" footer="0.3"/>
  <pageSetup scale="80" fitToHeight="0" orientation="landscape" r:id="rId1"/>
  <headerFooter>
    <oddFooter>&amp;R&amp;D</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5"/>
  <sheetViews>
    <sheetView zoomScale="120" zoomScaleNormal="120" workbookViewId="0">
      <pane xSplit="1" ySplit="2" topLeftCell="B3" activePane="bottomRight" state="frozen"/>
      <selection pane="topRight" activeCell="B1" sqref="B1"/>
      <selection pane="bottomLeft" activeCell="A3" sqref="A3"/>
      <selection pane="bottomRight" activeCell="B3" sqref="B3"/>
    </sheetView>
  </sheetViews>
  <sheetFormatPr defaultColWidth="8.85546875" defaultRowHeight="15"/>
  <cols>
    <col min="1" max="1" width="20.7109375" style="67" customWidth="1"/>
    <col min="2" max="2" width="15.7109375" style="50" customWidth="1"/>
    <col min="3" max="3" width="18.28515625" style="50" customWidth="1"/>
    <col min="4" max="4" width="18.140625" style="50" customWidth="1"/>
    <col min="5" max="5" width="14.85546875" style="50" customWidth="1"/>
    <col min="6" max="6" width="18" style="50" customWidth="1"/>
    <col min="7" max="7" width="15.7109375" style="50" customWidth="1"/>
    <col min="8" max="8" width="20.7109375" style="80" customWidth="1"/>
    <col min="9" max="10" width="20.7109375" style="50" customWidth="1"/>
    <col min="11" max="16384" width="8.85546875" style="50"/>
  </cols>
  <sheetData>
    <row r="1" spans="1:10" ht="18.75">
      <c r="A1" s="126" t="s">
        <v>231</v>
      </c>
    </row>
    <row r="2" spans="1:10" s="69" customFormat="1" ht="59.25" customHeight="1" thickBot="1">
      <c r="A2" s="70" t="s">
        <v>207</v>
      </c>
      <c r="B2" s="70" t="s">
        <v>230</v>
      </c>
      <c r="C2" s="70" t="s">
        <v>229</v>
      </c>
      <c r="D2" s="70" t="s">
        <v>228</v>
      </c>
      <c r="E2" s="70" t="s">
        <v>227</v>
      </c>
      <c r="F2" s="70" t="s">
        <v>226</v>
      </c>
      <c r="G2" s="70" t="s">
        <v>225</v>
      </c>
      <c r="H2" s="125" t="s">
        <v>224</v>
      </c>
      <c r="I2" s="70" t="s">
        <v>223</v>
      </c>
      <c r="J2" s="70" t="s">
        <v>222</v>
      </c>
    </row>
    <row r="3" spans="1:10">
      <c r="A3" s="124" t="s">
        <v>39</v>
      </c>
      <c r="B3" s="123">
        <v>137.6241</v>
      </c>
      <c r="C3" s="122">
        <v>8297.0863640588177</v>
      </c>
      <c r="D3" s="121">
        <v>8502.1066666666666</v>
      </c>
      <c r="E3" s="120">
        <v>7.6412855526482026E-3</v>
      </c>
      <c r="F3" s="119">
        <f>'Fall 2021 P2 FON'!$D3*(1-'Fall 2021 P2 FON'!$E3)</f>
        <v>8437.1396418275926</v>
      </c>
      <c r="G3" s="118">
        <f t="shared" ref="G3:G34" si="0">F3-C3</f>
        <v>140.05327776877493</v>
      </c>
      <c r="H3" s="117">
        <f>G3/C3</f>
        <v>1.6879814385861454E-2</v>
      </c>
      <c r="I3" s="116">
        <f t="shared" ref="I3:I34" si="1">IF(B3*H3&gt;=0,ROUNDDOWN(B3*H3,0),ROUNDUP(B3*H3,0))</f>
        <v>2</v>
      </c>
      <c r="J3" s="115">
        <f t="shared" ref="J3:J34" si="2">B3+I3</f>
        <v>139.6241</v>
      </c>
    </row>
    <row r="4" spans="1:10">
      <c r="A4" s="114" t="s">
        <v>40</v>
      </c>
      <c r="B4" s="113">
        <v>156.36279999999999</v>
      </c>
      <c r="C4" s="112">
        <v>10723.12578353754</v>
      </c>
      <c r="D4" s="105">
        <v>10977.156666666668</v>
      </c>
      <c r="E4" s="104">
        <v>7.6412954413264123E-3</v>
      </c>
      <c r="F4" s="111">
        <f>'Fall 2021 P2 FON'!$D4*(1-'Fall 2021 P2 FON'!$E4)</f>
        <v>10893.276969470942</v>
      </c>
      <c r="G4" s="109">
        <f t="shared" si="0"/>
        <v>170.1511859334023</v>
      </c>
      <c r="H4" s="110">
        <v>0</v>
      </c>
      <c r="I4" s="109">
        <f t="shared" si="1"/>
        <v>0</v>
      </c>
      <c r="J4" s="81">
        <f t="shared" si="2"/>
        <v>156.36279999999999</v>
      </c>
    </row>
    <row r="5" spans="1:10">
      <c r="A5" s="108" t="s">
        <v>41</v>
      </c>
      <c r="B5" s="107">
        <v>29.333500000000001</v>
      </c>
      <c r="C5" s="106">
        <v>2456.6124159337619</v>
      </c>
      <c r="D5" s="105">
        <v>2528.9066666666668</v>
      </c>
      <c r="E5" s="104">
        <v>7.6412788393717124E-3</v>
      </c>
      <c r="F5" s="103">
        <f>'Fall 2021 P2 FON'!$D5*(1-'Fall 2021 P2 FON'!$E5)</f>
        <v>2509.5825856679207</v>
      </c>
      <c r="G5" s="101">
        <f t="shared" si="0"/>
        <v>52.970169734158844</v>
      </c>
      <c r="H5" s="102">
        <f t="shared" ref="H5:H36" si="3">G5/C5</f>
        <v>2.1562282023240856E-2</v>
      </c>
      <c r="I5" s="101">
        <f t="shared" si="1"/>
        <v>0</v>
      </c>
      <c r="J5" s="100">
        <f t="shared" si="2"/>
        <v>29.333500000000001</v>
      </c>
    </row>
    <row r="6" spans="1:10">
      <c r="A6" s="114" t="s">
        <v>42</v>
      </c>
      <c r="B6" s="113">
        <v>158.45410000000001</v>
      </c>
      <c r="C6" s="112">
        <v>9123.3524769950709</v>
      </c>
      <c r="D6" s="105">
        <v>9162</v>
      </c>
      <c r="E6" s="104">
        <v>7.6412947938682141E-3</v>
      </c>
      <c r="F6" s="111">
        <f>'Fall 2021 P2 FON'!$D6*(1-'Fall 2021 P2 FON'!$E6)</f>
        <v>9091.99045709858</v>
      </c>
      <c r="G6" s="109">
        <f t="shared" si="0"/>
        <v>-31.362019896490892</v>
      </c>
      <c r="H6" s="110">
        <f t="shared" si="3"/>
        <v>-3.4375543393255479E-3</v>
      </c>
      <c r="I6" s="109">
        <f t="shared" si="1"/>
        <v>-1</v>
      </c>
      <c r="J6" s="81">
        <f t="shared" si="2"/>
        <v>157.45410000000001</v>
      </c>
    </row>
    <row r="7" spans="1:10">
      <c r="A7" s="108" t="s">
        <v>43</v>
      </c>
      <c r="B7" s="107">
        <v>161.76750000000001</v>
      </c>
      <c r="C7" s="106">
        <v>8737.1778735403805</v>
      </c>
      <c r="D7" s="105">
        <v>9002.7966666666671</v>
      </c>
      <c r="E7" s="104">
        <v>7.6412866329687024E-3</v>
      </c>
      <c r="F7" s="103">
        <f>'Fall 2021 P2 FON'!$D7*(1-'Fall 2021 P2 FON'!$E7)</f>
        <v>8934.0037168383315</v>
      </c>
      <c r="G7" s="101">
        <f t="shared" si="0"/>
        <v>196.825843297951</v>
      </c>
      <c r="H7" s="102">
        <f t="shared" si="3"/>
        <v>2.252739341544336E-2</v>
      </c>
      <c r="I7" s="101">
        <f t="shared" si="1"/>
        <v>3</v>
      </c>
      <c r="J7" s="100">
        <f t="shared" si="2"/>
        <v>164.76750000000001</v>
      </c>
    </row>
    <row r="8" spans="1:10" s="67" customFormat="1">
      <c r="A8" s="114" t="s">
        <v>44</v>
      </c>
      <c r="B8" s="113">
        <v>283.9939</v>
      </c>
      <c r="C8" s="112">
        <v>16093.931038733706</v>
      </c>
      <c r="D8" s="105">
        <v>15789.09</v>
      </c>
      <c r="E8" s="104">
        <v>7.6412951237312399E-3</v>
      </c>
      <c r="F8" s="111">
        <f>'Fall 2021 P2 FON'!$D8*(1-'Fall 2021 P2 FON'!$E8)</f>
        <v>15668.440903574847</v>
      </c>
      <c r="G8" s="109">
        <f t="shared" si="0"/>
        <v>-425.49013515885963</v>
      </c>
      <c r="H8" s="110">
        <f t="shared" si="3"/>
        <v>-2.6437924590009789E-2</v>
      </c>
      <c r="I8" s="109">
        <f t="shared" si="1"/>
        <v>-8</v>
      </c>
      <c r="J8" s="81">
        <f t="shared" si="2"/>
        <v>275.9939</v>
      </c>
    </row>
    <row r="9" spans="1:10" ht="15.4" customHeight="1">
      <c r="A9" s="108" t="s">
        <v>45</v>
      </c>
      <c r="B9" s="107">
        <v>308.96730000000002</v>
      </c>
      <c r="C9" s="106">
        <v>16955.019479154416</v>
      </c>
      <c r="D9" s="105">
        <v>16374.936666666665</v>
      </c>
      <c r="E9" s="104">
        <v>7.6412956082712036E-3</v>
      </c>
      <c r="F9" s="103">
        <f>'Fall 2021 P2 FON'!$D9*(1-'Fall 2021 P2 FON'!$E9)</f>
        <v>16249.810935029946</v>
      </c>
      <c r="G9" s="101">
        <f t="shared" si="0"/>
        <v>-705.20854412447079</v>
      </c>
      <c r="H9" s="102">
        <f t="shared" si="3"/>
        <v>-4.1592906749030822E-2</v>
      </c>
      <c r="I9" s="101">
        <f t="shared" si="1"/>
        <v>-13</v>
      </c>
      <c r="J9" s="100">
        <f t="shared" si="2"/>
        <v>295.96730000000002</v>
      </c>
    </row>
    <row r="10" spans="1:10">
      <c r="A10" s="114" t="s">
        <v>46</v>
      </c>
      <c r="B10" s="113">
        <v>244.58510000000001</v>
      </c>
      <c r="C10" s="112">
        <v>15643.228105280481</v>
      </c>
      <c r="D10" s="105">
        <v>16387.538248035769</v>
      </c>
      <c r="E10" s="104">
        <v>7.6412957159351924E-3</v>
      </c>
      <c r="F10" s="111">
        <f>'Fall 2021 P2 FON'!$D10*(1-'Fall 2021 P2 FON'!$E10)</f>
        <v>16262.316222226329</v>
      </c>
      <c r="G10" s="109">
        <f t="shared" si="0"/>
        <v>619.08811694584801</v>
      </c>
      <c r="H10" s="110">
        <f t="shared" si="3"/>
        <v>3.9575470790256549E-2</v>
      </c>
      <c r="I10" s="109">
        <f t="shared" si="1"/>
        <v>9</v>
      </c>
      <c r="J10" s="81">
        <f t="shared" si="2"/>
        <v>253.58510000000001</v>
      </c>
    </row>
    <row r="11" spans="1:10">
      <c r="A11" s="108" t="s">
        <v>47</v>
      </c>
      <c r="B11" s="107">
        <v>179.0453</v>
      </c>
      <c r="C11" s="106">
        <v>11326.134894413797</v>
      </c>
      <c r="D11" s="105">
        <v>11149.353333333334</v>
      </c>
      <c r="E11" s="104">
        <v>7.6412889129895412E-3</v>
      </c>
      <c r="F11" s="103">
        <f>'Fall 2021 P2 FON'!$D11*(1-'Fall 2021 P2 FON'!$E11)</f>
        <v>11064.157903320331</v>
      </c>
      <c r="G11" s="101">
        <f t="shared" si="0"/>
        <v>-261.97699109346649</v>
      </c>
      <c r="H11" s="102">
        <f t="shared" si="3"/>
        <v>-2.3130308223918213E-2</v>
      </c>
      <c r="I11" s="101">
        <f t="shared" si="1"/>
        <v>-5</v>
      </c>
      <c r="J11" s="100">
        <f t="shared" si="2"/>
        <v>174.0453</v>
      </c>
    </row>
    <row r="12" spans="1:10">
      <c r="A12" s="114" t="s">
        <v>48</v>
      </c>
      <c r="B12" s="113">
        <v>418.86709999999999</v>
      </c>
      <c r="C12" s="112">
        <v>29983.119582967185</v>
      </c>
      <c r="D12" s="105">
        <v>28706.176666666666</v>
      </c>
      <c r="E12" s="104">
        <v>7.641292912705322E-3</v>
      </c>
      <c r="F12" s="111">
        <f>'Fall 2021 P2 FON'!$D12*(1-'Fall 2021 P2 FON'!$E12)</f>
        <v>28486.8243623528</v>
      </c>
      <c r="G12" s="109">
        <f t="shared" si="0"/>
        <v>-1496.2952206143855</v>
      </c>
      <c r="H12" s="110">
        <f t="shared" si="3"/>
        <v>-4.9904587695551235E-2</v>
      </c>
      <c r="I12" s="109">
        <f t="shared" si="1"/>
        <v>-21</v>
      </c>
      <c r="J12" s="81">
        <f t="shared" si="2"/>
        <v>397.86709999999999</v>
      </c>
    </row>
    <row r="13" spans="1:10">
      <c r="A13" s="108" t="s">
        <v>49</v>
      </c>
      <c r="B13" s="107">
        <v>29.951000000000001</v>
      </c>
      <c r="C13" s="106">
        <v>5936.8997735037692</v>
      </c>
      <c r="D13" s="105">
        <v>5961.69</v>
      </c>
      <c r="E13" s="104">
        <v>7.6413006332781697E-3</v>
      </c>
      <c r="F13" s="103">
        <f>'Fall 2021 P2 FON'!$D13*(1-'Fall 2021 P2 FON'!$E13)</f>
        <v>5916.1349344275914</v>
      </c>
      <c r="G13" s="101">
        <f t="shared" si="0"/>
        <v>-20.76483907617785</v>
      </c>
      <c r="H13" s="102">
        <f t="shared" si="3"/>
        <v>-3.4975896289930297E-3</v>
      </c>
      <c r="I13" s="101">
        <f t="shared" si="1"/>
        <v>-1</v>
      </c>
      <c r="J13" s="100">
        <f t="shared" si="2"/>
        <v>28.951000000000001</v>
      </c>
    </row>
    <row r="14" spans="1:10">
      <c r="A14" s="114" t="s">
        <v>50</v>
      </c>
      <c r="B14" s="113">
        <v>370.01979999999998</v>
      </c>
      <c r="C14" s="112">
        <v>27435.339006718419</v>
      </c>
      <c r="D14" s="105">
        <v>27399.696666666667</v>
      </c>
      <c r="E14" s="104">
        <v>7.641290725697969E-3</v>
      </c>
      <c r="F14" s="111">
        <f>'Fall 2021 P2 FON'!$D14*(1-'Fall 2021 P2 FON'!$E14)</f>
        <v>27190.327618640727</v>
      </c>
      <c r="G14" s="109">
        <f t="shared" si="0"/>
        <v>-245.01138807769166</v>
      </c>
      <c r="H14" s="110">
        <f t="shared" si="3"/>
        <v>-8.9305033926386987E-3</v>
      </c>
      <c r="I14" s="109">
        <f t="shared" si="1"/>
        <v>-4</v>
      </c>
      <c r="J14" s="81">
        <f t="shared" si="2"/>
        <v>366.01979999999998</v>
      </c>
    </row>
    <row r="15" spans="1:10">
      <c r="A15" s="108" t="s">
        <v>209</v>
      </c>
      <c r="B15" s="107">
        <v>9.6952999999999996</v>
      </c>
      <c r="C15" s="106">
        <v>1388.1318610191747</v>
      </c>
      <c r="D15" s="105">
        <v>1374.9966666666667</v>
      </c>
      <c r="E15" s="104">
        <v>7.6413043181100537E-3</v>
      </c>
      <c r="F15" s="103">
        <f>'Fall 2021 P2 FON'!$D15*(1-'Fall 2021 P2 FON'!$E15)</f>
        <v>1364.4898987002798</v>
      </c>
      <c r="G15" s="101">
        <f t="shared" si="0"/>
        <v>-23.641962318894912</v>
      </c>
      <c r="H15" s="102">
        <f t="shared" si="3"/>
        <v>-1.7031496057973081E-2</v>
      </c>
      <c r="I15" s="101">
        <f t="shared" si="1"/>
        <v>-1</v>
      </c>
      <c r="J15" s="100">
        <f t="shared" si="2"/>
        <v>8.6952999999999996</v>
      </c>
    </row>
    <row r="16" spans="1:10">
      <c r="A16" s="114" t="s">
        <v>51</v>
      </c>
      <c r="B16" s="113">
        <v>133.8176</v>
      </c>
      <c r="C16" s="112">
        <v>8880.4703165258416</v>
      </c>
      <c r="D16" s="105">
        <v>8798.51</v>
      </c>
      <c r="E16" s="104">
        <v>7.6412963071882389E-3</v>
      </c>
      <c r="F16" s="111">
        <f>'Fall 2021 P2 FON'!$D16*(1-'Fall 2021 P2 FON'!$E16)</f>
        <v>8731.2779780282417</v>
      </c>
      <c r="G16" s="109">
        <f t="shared" si="0"/>
        <v>-149.19233849759985</v>
      </c>
      <c r="H16" s="110">
        <f t="shared" si="3"/>
        <v>-1.6800049229370756E-2</v>
      </c>
      <c r="I16" s="109">
        <f t="shared" si="1"/>
        <v>-3</v>
      </c>
      <c r="J16" s="81">
        <f t="shared" si="2"/>
        <v>130.8176</v>
      </c>
    </row>
    <row r="17" spans="1:10">
      <c r="A17" s="108" t="s">
        <v>52</v>
      </c>
      <c r="B17" s="107">
        <v>346.95920000000001</v>
      </c>
      <c r="C17" s="106">
        <v>19072.283632360646</v>
      </c>
      <c r="D17" s="105">
        <v>18823.906666666666</v>
      </c>
      <c r="E17" s="104">
        <v>7.6412902111357983E-3</v>
      </c>
      <c r="F17" s="103">
        <f>'Fall 2021 P2 FON'!$D17*(1-'Fall 2021 P2 FON'!$E17)</f>
        <v>18680.067732919331</v>
      </c>
      <c r="G17" s="101">
        <f t="shared" si="0"/>
        <v>-392.21589944131483</v>
      </c>
      <c r="H17" s="102">
        <f t="shared" si="3"/>
        <v>-2.0564705674564723E-2</v>
      </c>
      <c r="I17" s="101">
        <f t="shared" si="1"/>
        <v>-8</v>
      </c>
      <c r="J17" s="100">
        <f t="shared" si="2"/>
        <v>338.95920000000001</v>
      </c>
    </row>
    <row r="18" spans="1:10">
      <c r="A18" s="114" t="s">
        <v>53</v>
      </c>
      <c r="B18" s="113">
        <v>18.3188</v>
      </c>
      <c r="C18" s="112">
        <v>1630.4528819074051</v>
      </c>
      <c r="D18" s="105">
        <v>1661.8941898188164</v>
      </c>
      <c r="E18" s="104">
        <v>7.6413118788282164E-3</v>
      </c>
      <c r="F18" s="111">
        <f>'Fall 2021 P2 FON'!$D18*(1-'Fall 2021 P2 FON'!$E18)</f>
        <v>1649.1951380047983</v>
      </c>
      <c r="G18" s="109">
        <f t="shared" si="0"/>
        <v>18.742256097393238</v>
      </c>
      <c r="H18" s="110">
        <f t="shared" si="3"/>
        <v>1.1495122800155612E-2</v>
      </c>
      <c r="I18" s="109">
        <f t="shared" si="1"/>
        <v>0</v>
      </c>
      <c r="J18" s="81">
        <f t="shared" si="2"/>
        <v>18.3188</v>
      </c>
    </row>
    <row r="19" spans="1:10">
      <c r="A19" s="108" t="s">
        <v>54</v>
      </c>
      <c r="B19" s="107">
        <v>383.55779999999999</v>
      </c>
      <c r="C19" s="106">
        <v>23219.96724717012</v>
      </c>
      <c r="D19" s="105">
        <v>23499.350000000002</v>
      </c>
      <c r="E19" s="104">
        <v>7.6412915590228225E-3</v>
      </c>
      <c r="F19" s="103">
        <f>'Fall 2021 P2 FON'!$D19*(1-'Fall 2021 P2 FON'!$E19)</f>
        <v>23319.784615202479</v>
      </c>
      <c r="G19" s="101">
        <f t="shared" si="0"/>
        <v>99.817368032359809</v>
      </c>
      <c r="H19" s="102">
        <f t="shared" si="3"/>
        <v>4.2987729900663329E-3</v>
      </c>
      <c r="I19" s="101">
        <f t="shared" si="1"/>
        <v>1</v>
      </c>
      <c r="J19" s="100">
        <f t="shared" si="2"/>
        <v>384.55779999999999</v>
      </c>
    </row>
    <row r="20" spans="1:10">
      <c r="A20" s="114" t="s">
        <v>55</v>
      </c>
      <c r="B20" s="113">
        <v>69.532399999999996</v>
      </c>
      <c r="C20" s="112">
        <v>4415.6638857648422</v>
      </c>
      <c r="D20" s="105">
        <v>4589.158912736757</v>
      </c>
      <c r="E20" s="104">
        <v>7.6412876851447153E-3</v>
      </c>
      <c r="F20" s="111">
        <f>'Fall 2021 P2 FON'!$D20*(1-'Fall 2021 P2 FON'!$E20)</f>
        <v>4554.0918292516899</v>
      </c>
      <c r="G20" s="109">
        <f t="shared" si="0"/>
        <v>138.42794348684765</v>
      </c>
      <c r="H20" s="110">
        <f t="shared" si="3"/>
        <v>3.1349293575788181E-2</v>
      </c>
      <c r="I20" s="109">
        <f t="shared" si="1"/>
        <v>2</v>
      </c>
      <c r="J20" s="81">
        <f t="shared" si="2"/>
        <v>71.532399999999996</v>
      </c>
    </row>
    <row r="21" spans="1:10">
      <c r="A21" s="108" t="s">
        <v>56</v>
      </c>
      <c r="B21" s="107">
        <v>210.0789</v>
      </c>
      <c r="C21" s="106">
        <v>11124.983460389172</v>
      </c>
      <c r="D21" s="105">
        <v>11335.570000000002</v>
      </c>
      <c r="E21" s="104">
        <v>7.641290943302681E-3</v>
      </c>
      <c r="F21" s="103">
        <f>'Fall 2021 P2 FON'!$D21*(1-'Fall 2021 P2 FON'!$E21)</f>
        <v>11248.951611621827</v>
      </c>
      <c r="G21" s="101">
        <f t="shared" si="0"/>
        <v>123.96815123265515</v>
      </c>
      <c r="H21" s="102">
        <f t="shared" si="3"/>
        <v>1.1143221171882848E-2</v>
      </c>
      <c r="I21" s="101">
        <f t="shared" si="1"/>
        <v>2</v>
      </c>
      <c r="J21" s="100">
        <f t="shared" si="2"/>
        <v>212.0789</v>
      </c>
    </row>
    <row r="22" spans="1:10">
      <c r="A22" s="114" t="s">
        <v>57</v>
      </c>
      <c r="B22" s="113">
        <v>289.54349999999999</v>
      </c>
      <c r="C22" s="112">
        <v>17218.097626747272</v>
      </c>
      <c r="D22" s="105">
        <v>17237.233333333337</v>
      </c>
      <c r="E22" s="104">
        <v>7.6412906849345763E-3</v>
      </c>
      <c r="F22" s="111">
        <f>'Fall 2021 P2 FON'!$D22*(1-'Fall 2021 P2 FON'!$E22)</f>
        <v>17105.518622829295</v>
      </c>
      <c r="G22" s="109">
        <f t="shared" si="0"/>
        <v>-112.57900391797739</v>
      </c>
      <c r="H22" s="110">
        <f t="shared" si="3"/>
        <v>-6.5384112901702169E-3</v>
      </c>
      <c r="I22" s="109">
        <f t="shared" si="1"/>
        <v>-2</v>
      </c>
      <c r="J22" s="81">
        <f t="shared" si="2"/>
        <v>287.54349999999999</v>
      </c>
    </row>
    <row r="23" spans="1:10">
      <c r="A23" s="108" t="s">
        <v>58</v>
      </c>
      <c r="B23" s="107">
        <v>112.95829999999999</v>
      </c>
      <c r="C23" s="106">
        <v>7303.5508940161344</v>
      </c>
      <c r="D23" s="105">
        <v>7322.5019076467843</v>
      </c>
      <c r="E23" s="104">
        <v>7.6412894458542935E-3</v>
      </c>
      <c r="F23" s="103">
        <f>'Fall 2021 P2 FON'!$D23*(1-'Fall 2021 P2 FON'!$E23)</f>
        <v>7266.5485511026345</v>
      </c>
      <c r="G23" s="101">
        <f t="shared" si="0"/>
        <v>-37.002342913499888</v>
      </c>
      <c r="H23" s="102">
        <f t="shared" si="3"/>
        <v>-5.0663497044726889E-3</v>
      </c>
      <c r="I23" s="101">
        <f t="shared" si="1"/>
        <v>-1</v>
      </c>
      <c r="J23" s="100">
        <f t="shared" si="2"/>
        <v>111.95829999999999</v>
      </c>
    </row>
    <row r="24" spans="1:10">
      <c r="A24" s="114" t="s">
        <v>59</v>
      </c>
      <c r="B24" s="113">
        <v>112.06059999999999</v>
      </c>
      <c r="C24" s="112">
        <v>7362.7204432964354</v>
      </c>
      <c r="D24" s="105">
        <v>7380.0099999999993</v>
      </c>
      <c r="E24" s="104">
        <v>7.6413005047410998E-3</v>
      </c>
      <c r="F24" s="111">
        <f>'Fall 2021 P2 FON'!$D24*(1-'Fall 2021 P2 FON'!$E24)</f>
        <v>7323.6171258620052</v>
      </c>
      <c r="G24" s="109">
        <f t="shared" si="0"/>
        <v>-39.10331743443021</v>
      </c>
      <c r="H24" s="110">
        <f t="shared" si="3"/>
        <v>-5.3109876621803232E-3</v>
      </c>
      <c r="I24" s="109">
        <f t="shared" si="1"/>
        <v>-1</v>
      </c>
      <c r="J24" s="81">
        <f t="shared" si="2"/>
        <v>111.06059999999999</v>
      </c>
    </row>
    <row r="25" spans="1:10">
      <c r="A25" s="108" t="s">
        <v>60</v>
      </c>
      <c r="B25" s="107">
        <v>465.78919999999999</v>
      </c>
      <c r="C25" s="106">
        <v>22536.30436625818</v>
      </c>
      <c r="D25" s="105">
        <v>22050.86104615944</v>
      </c>
      <c r="E25" s="104">
        <v>7.6412916834244227E-3</v>
      </c>
      <c r="F25" s="103">
        <f>'Fall 2021 P2 FON'!$D25*(1-'Fall 2021 P2 FON'!$E25)</f>
        <v>21882.363985035074</v>
      </c>
      <c r="G25" s="101">
        <f t="shared" si="0"/>
        <v>-653.94038122310667</v>
      </c>
      <c r="H25" s="102">
        <f t="shared" si="3"/>
        <v>-2.9017196901289621E-2</v>
      </c>
      <c r="I25" s="101">
        <f t="shared" si="1"/>
        <v>-14</v>
      </c>
      <c r="J25" s="100">
        <f t="shared" si="2"/>
        <v>451.78919999999999</v>
      </c>
    </row>
    <row r="26" spans="1:10">
      <c r="A26" s="114" t="s">
        <v>61</v>
      </c>
      <c r="B26" s="113">
        <v>17.559999999999999</v>
      </c>
      <c r="C26" s="112">
        <v>1621.9090620637326</v>
      </c>
      <c r="D26" s="105">
        <v>1628.82</v>
      </c>
      <c r="E26" s="104">
        <v>7.6412757129483699E-3</v>
      </c>
      <c r="F26" s="111">
        <f>'Fall 2021 P2 FON'!$D26*(1-'Fall 2021 P2 FON'!$E26)</f>
        <v>1616.3737372932353</v>
      </c>
      <c r="G26" s="109">
        <f t="shared" si="0"/>
        <v>-5.5353247704972546</v>
      </c>
      <c r="H26" s="110">
        <f t="shared" si="3"/>
        <v>-3.4128453314479015E-3</v>
      </c>
      <c r="I26" s="109">
        <f t="shared" si="1"/>
        <v>-1</v>
      </c>
      <c r="J26" s="81">
        <f t="shared" si="2"/>
        <v>16.559999999999999</v>
      </c>
    </row>
    <row r="27" spans="1:10">
      <c r="A27" s="108" t="s">
        <v>62</v>
      </c>
      <c r="B27" s="107">
        <v>16.046900000000001</v>
      </c>
      <c r="C27" s="106">
        <v>1425.5768034595669</v>
      </c>
      <c r="D27" s="105">
        <v>1228.0711075419376</v>
      </c>
      <c r="E27" s="104">
        <v>7.6413184167357651E-3</v>
      </c>
      <c r="F27" s="103">
        <f>'Fall 2021 P2 FON'!$D27*(1-'Fall 2021 P2 FON'!$E27)</f>
        <v>1218.6870251708162</v>
      </c>
      <c r="G27" s="101">
        <f t="shared" si="0"/>
        <v>-206.88977828875068</v>
      </c>
      <c r="H27" s="102">
        <f t="shared" si="3"/>
        <v>-0.14512706561068747</v>
      </c>
      <c r="I27" s="101">
        <f t="shared" si="1"/>
        <v>-3</v>
      </c>
      <c r="J27" s="100">
        <f t="shared" si="2"/>
        <v>13.046900000000001</v>
      </c>
    </row>
    <row r="28" spans="1:10">
      <c r="A28" s="114" t="s">
        <v>63</v>
      </c>
      <c r="B28" s="113">
        <v>340.959</v>
      </c>
      <c r="C28" s="112">
        <v>18891.341289121898</v>
      </c>
      <c r="D28" s="105">
        <v>19277.629999999997</v>
      </c>
      <c r="E28" s="104">
        <v>7.6412957968355899E-3</v>
      </c>
      <c r="F28" s="111">
        <f>'Fall 2021 P2 FON'!$D28*(1-'Fall 2021 P2 FON'!$E28)</f>
        <v>19130.323926908044</v>
      </c>
      <c r="G28" s="109">
        <f t="shared" si="0"/>
        <v>238.98263778614637</v>
      </c>
      <c r="H28" s="110">
        <f t="shared" si="3"/>
        <v>1.2650379564301159E-2</v>
      </c>
      <c r="I28" s="109">
        <f t="shared" si="1"/>
        <v>4</v>
      </c>
      <c r="J28" s="81">
        <f t="shared" si="2"/>
        <v>344.959</v>
      </c>
    </row>
    <row r="29" spans="1:10">
      <c r="A29" s="108" t="s">
        <v>64</v>
      </c>
      <c r="B29" s="107">
        <v>1548.7841000000001</v>
      </c>
      <c r="C29" s="106">
        <v>91300.892248738426</v>
      </c>
      <c r="D29" s="105">
        <v>87167.275333333324</v>
      </c>
      <c r="E29" s="104">
        <v>7.6412920892993119E-3</v>
      </c>
      <c r="F29" s="103">
        <f>'Fall 2021 P2 FON'!$D29*(1-'Fall 2021 P2 FON'!$E29)</f>
        <v>86501.204721882954</v>
      </c>
      <c r="G29" s="101">
        <f t="shared" si="0"/>
        <v>-4799.6875268554722</v>
      </c>
      <c r="H29" s="102">
        <f t="shared" si="3"/>
        <v>-5.2569995852606723E-2</v>
      </c>
      <c r="I29" s="101">
        <f t="shared" si="1"/>
        <v>-82</v>
      </c>
      <c r="J29" s="100">
        <f t="shared" si="2"/>
        <v>1466.7841000000001</v>
      </c>
    </row>
    <row r="30" spans="1:10">
      <c r="A30" s="114" t="s">
        <v>65</v>
      </c>
      <c r="B30" s="113">
        <v>890.10069999999996</v>
      </c>
      <c r="C30" s="112">
        <v>46170.711576202528</v>
      </c>
      <c r="D30" s="105">
        <v>46437.079999999994</v>
      </c>
      <c r="E30" s="104">
        <v>7.6412917737219699E-3</v>
      </c>
      <c r="F30" s="111">
        <f>'Fall 2021 P2 FON'!$D30*(1-'Fall 2021 P2 FON'!$E30)</f>
        <v>46082.240722600327</v>
      </c>
      <c r="G30" s="109">
        <f t="shared" si="0"/>
        <v>-88.470853602200805</v>
      </c>
      <c r="H30" s="110">
        <f t="shared" si="3"/>
        <v>-1.9161682933169426E-3</v>
      </c>
      <c r="I30" s="109">
        <f t="shared" si="1"/>
        <v>-2</v>
      </c>
      <c r="J30" s="81">
        <f t="shared" si="2"/>
        <v>888.10069999999996</v>
      </c>
    </row>
    <row r="31" spans="1:10">
      <c r="A31" s="108" t="s">
        <v>66</v>
      </c>
      <c r="B31" s="107">
        <v>56.504600000000003</v>
      </c>
      <c r="C31" s="106">
        <v>3069.8066666666673</v>
      </c>
      <c r="D31" s="105">
        <v>2946.1133333333332</v>
      </c>
      <c r="E31" s="104">
        <v>0</v>
      </c>
      <c r="F31" s="103">
        <f>'Fall 2021 P2 FON'!$D31*(1-'Fall 2021 P2 FON'!$E31)</f>
        <v>2946.1133333333332</v>
      </c>
      <c r="G31" s="101">
        <f t="shared" si="0"/>
        <v>-123.69333333333407</v>
      </c>
      <c r="H31" s="102">
        <f t="shared" si="3"/>
        <v>-4.0293525542325369E-2</v>
      </c>
      <c r="I31" s="101">
        <f t="shared" si="1"/>
        <v>-3</v>
      </c>
      <c r="J31" s="100">
        <f t="shared" si="2"/>
        <v>53.504600000000003</v>
      </c>
    </row>
    <row r="32" spans="1:10">
      <c r="A32" s="114" t="s">
        <v>67</v>
      </c>
      <c r="B32" s="113">
        <v>42.740099999999998</v>
      </c>
      <c r="C32" s="112">
        <v>2769.9937903407613</v>
      </c>
      <c r="D32" s="105">
        <v>2444.9500000000003</v>
      </c>
      <c r="E32" s="104">
        <v>7.6412754623046419E-3</v>
      </c>
      <c r="F32" s="111">
        <f>'Fall 2021 P2 FON'!$D32*(1-'Fall 2021 P2 FON'!$E32)</f>
        <v>2426.2674635584385</v>
      </c>
      <c r="G32" s="109">
        <f t="shared" si="0"/>
        <v>-343.72632678232276</v>
      </c>
      <c r="H32" s="110">
        <f t="shared" si="3"/>
        <v>-0.12408920481371837</v>
      </c>
      <c r="I32" s="109">
        <f t="shared" si="1"/>
        <v>-6</v>
      </c>
      <c r="J32" s="81">
        <f t="shared" si="2"/>
        <v>36.740099999999998</v>
      </c>
    </row>
    <row r="33" spans="1:10">
      <c r="A33" s="108" t="s">
        <v>68</v>
      </c>
      <c r="B33" s="107">
        <v>181.74430000000001</v>
      </c>
      <c r="C33" s="106">
        <v>8636.6195829005574</v>
      </c>
      <c r="D33" s="105">
        <v>8822.3919105115783</v>
      </c>
      <c r="E33" s="104">
        <v>7.6412875972093897E-3</v>
      </c>
      <c r="F33" s="103">
        <f>'Fall 2021 P2 FON'!$D33*(1-'Fall 2021 P2 FON'!$E33)</f>
        <v>8754.9774766280661</v>
      </c>
      <c r="G33" s="101">
        <f t="shared" si="0"/>
        <v>118.35789372750878</v>
      </c>
      <c r="H33" s="102">
        <f t="shared" si="3"/>
        <v>1.3704192084810917E-2</v>
      </c>
      <c r="I33" s="101">
        <f t="shared" si="1"/>
        <v>2</v>
      </c>
      <c r="J33" s="100">
        <f t="shared" si="2"/>
        <v>183.74430000000001</v>
      </c>
    </row>
    <row r="34" spans="1:10">
      <c r="A34" s="114" t="s">
        <v>210</v>
      </c>
      <c r="B34" s="113">
        <v>159.2406</v>
      </c>
      <c r="C34" s="112">
        <v>9768.6566666666677</v>
      </c>
      <c r="D34" s="105">
        <v>9562.1</v>
      </c>
      <c r="E34" s="104">
        <v>0</v>
      </c>
      <c r="F34" s="111">
        <f>'Fall 2021 P2 FON'!$D34*(1-'Fall 2021 P2 FON'!$E34)</f>
        <v>9562.1</v>
      </c>
      <c r="G34" s="109">
        <f t="shared" si="0"/>
        <v>-206.5566666666673</v>
      </c>
      <c r="H34" s="110">
        <f t="shared" si="3"/>
        <v>-2.1144838406645536E-2</v>
      </c>
      <c r="I34" s="109">
        <f t="shared" si="1"/>
        <v>-4</v>
      </c>
      <c r="J34" s="81">
        <f t="shared" si="2"/>
        <v>155.2406</v>
      </c>
    </row>
    <row r="35" spans="1:10">
      <c r="A35" s="108" t="s">
        <v>69</v>
      </c>
      <c r="B35" s="107">
        <v>114.68680000000001</v>
      </c>
      <c r="C35" s="106">
        <v>5956.8249019647174</v>
      </c>
      <c r="D35" s="105">
        <v>6010.5100000000011</v>
      </c>
      <c r="E35" s="104">
        <v>7.6412850608541527E-3</v>
      </c>
      <c r="F35" s="103">
        <f>'Fall 2021 P2 FON'!$D35*(1-'Fall 2021 P2 FON'!$E35)</f>
        <v>5964.5819797288868</v>
      </c>
      <c r="G35" s="101">
        <f t="shared" ref="G35:G66" si="4">F35-C35</f>
        <v>7.7570777641694804</v>
      </c>
      <c r="H35" s="102">
        <f t="shared" si="3"/>
        <v>1.3022168507271369E-3</v>
      </c>
      <c r="I35" s="101">
        <f t="shared" ref="I35:I66" si="5">IF(B35*H35&gt;=0,ROUNDDOWN(B35*H35,0),ROUNDUP(B35*H35,0))</f>
        <v>0</v>
      </c>
      <c r="J35" s="100">
        <f t="shared" ref="J35:J66" si="6">B35+I35</f>
        <v>114.68680000000001</v>
      </c>
    </row>
    <row r="36" spans="1:10">
      <c r="A36" s="114" t="s">
        <v>70</v>
      </c>
      <c r="B36" s="113">
        <v>442.09750000000003</v>
      </c>
      <c r="C36" s="112">
        <v>24749.415302031197</v>
      </c>
      <c r="D36" s="105">
        <v>24775.33</v>
      </c>
      <c r="E36" s="104">
        <v>7.6412929066436153E-3</v>
      </c>
      <c r="F36" s="111">
        <f>'Fall 2021 P2 FON'!$D36*(1-'Fall 2021 P2 FON'!$E36)</f>
        <v>24586.014446611247</v>
      </c>
      <c r="G36" s="109">
        <f t="shared" si="4"/>
        <v>-163.40085541994995</v>
      </c>
      <c r="H36" s="110">
        <f t="shared" si="3"/>
        <v>-6.6022107361275546E-3</v>
      </c>
      <c r="I36" s="109">
        <f t="shared" si="5"/>
        <v>-3</v>
      </c>
      <c r="J36" s="81">
        <f t="shared" si="6"/>
        <v>439.09750000000003</v>
      </c>
    </row>
    <row r="37" spans="1:10">
      <c r="A37" s="108" t="s">
        <v>71</v>
      </c>
      <c r="B37" s="107">
        <v>151.57810000000001</v>
      </c>
      <c r="C37" s="106">
        <v>11115.736216723843</v>
      </c>
      <c r="D37" s="105">
        <v>11636.81333333333</v>
      </c>
      <c r="E37" s="104">
        <v>7.6412959521998669E-3</v>
      </c>
      <c r="F37" s="103">
        <f>'Fall 2021 P2 FON'!$D37*(1-'Fall 2021 P2 FON'!$E37)</f>
        <v>11547.892998712825</v>
      </c>
      <c r="G37" s="101">
        <f t="shared" si="4"/>
        <v>432.1567819889824</v>
      </c>
      <c r="H37" s="102">
        <f t="shared" ref="H37:H68" si="7">G37/C37</f>
        <v>3.8877927072324195E-2</v>
      </c>
      <c r="I37" s="101">
        <f t="shared" si="5"/>
        <v>5</v>
      </c>
      <c r="J37" s="100">
        <f t="shared" si="6"/>
        <v>156.57810000000001</v>
      </c>
    </row>
    <row r="38" spans="1:10">
      <c r="A38" s="114" t="s">
        <v>72</v>
      </c>
      <c r="B38" s="113">
        <v>80.383899999999997</v>
      </c>
      <c r="C38" s="112">
        <v>4434.1799999999985</v>
      </c>
      <c r="D38" s="105">
        <v>4329.28</v>
      </c>
      <c r="E38" s="104">
        <v>0</v>
      </c>
      <c r="F38" s="111">
        <f>'Fall 2021 P2 FON'!$D38*(1-'Fall 2021 P2 FON'!$E38)</f>
        <v>4329.28</v>
      </c>
      <c r="G38" s="109">
        <f t="shared" si="4"/>
        <v>-104.89999999999873</v>
      </c>
      <c r="H38" s="110">
        <f t="shared" si="7"/>
        <v>-2.3657136155951893E-2</v>
      </c>
      <c r="I38" s="109">
        <f t="shared" si="5"/>
        <v>-2</v>
      </c>
      <c r="J38" s="81">
        <f t="shared" si="6"/>
        <v>78.383899999999997</v>
      </c>
    </row>
    <row r="39" spans="1:10">
      <c r="A39" s="108" t="s">
        <v>73</v>
      </c>
      <c r="B39" s="107">
        <v>558.17700000000002</v>
      </c>
      <c r="C39" s="106">
        <v>27936.12847671636</v>
      </c>
      <c r="D39" s="105">
        <v>28430.983333333334</v>
      </c>
      <c r="E39" s="104">
        <v>7.6412917072337105E-3</v>
      </c>
      <c r="F39" s="103">
        <f>'Fall 2021 P2 FON'!$D39*(1-'Fall 2021 P2 FON'!$E39)</f>
        <v>28213.733896159833</v>
      </c>
      <c r="G39" s="101">
        <f t="shared" si="4"/>
        <v>277.60541944347278</v>
      </c>
      <c r="H39" s="102">
        <f t="shared" si="7"/>
        <v>9.9371471488916494E-3</v>
      </c>
      <c r="I39" s="101">
        <f t="shared" si="5"/>
        <v>5</v>
      </c>
      <c r="J39" s="100">
        <f t="shared" si="6"/>
        <v>563.17700000000002</v>
      </c>
    </row>
    <row r="40" spans="1:10">
      <c r="A40" s="114" t="s">
        <v>74</v>
      </c>
      <c r="B40" s="113">
        <v>104.6443</v>
      </c>
      <c r="C40" s="112">
        <v>6997.6300038108002</v>
      </c>
      <c r="D40" s="105">
        <v>7238.619999999999</v>
      </c>
      <c r="E40" s="104">
        <v>7.6412842813249338E-3</v>
      </c>
      <c r="F40" s="111">
        <f>'Fall 2021 P2 FON'!$D40*(1-'Fall 2021 P2 FON'!$E40)</f>
        <v>7183.3076467755145</v>
      </c>
      <c r="G40" s="109">
        <f t="shared" si="4"/>
        <v>185.67764296471432</v>
      </c>
      <c r="H40" s="110">
        <f t="shared" si="7"/>
        <v>2.6534361328563696E-2</v>
      </c>
      <c r="I40" s="109">
        <f t="shared" si="5"/>
        <v>2</v>
      </c>
      <c r="J40" s="81">
        <f t="shared" si="6"/>
        <v>106.6443</v>
      </c>
    </row>
    <row r="41" spans="1:10">
      <c r="A41" s="108" t="s">
        <v>75</v>
      </c>
      <c r="B41" s="107">
        <v>26.435300000000002</v>
      </c>
      <c r="C41" s="106">
        <v>2151.7756365203959</v>
      </c>
      <c r="D41" s="105">
        <v>2118.8315452295196</v>
      </c>
      <c r="E41" s="104">
        <v>7.6412950564900273E-3</v>
      </c>
      <c r="F41" s="103">
        <f>'Fall 2021 P2 FON'!$D41*(1-'Fall 2021 P2 FON'!$E41)</f>
        <v>2102.6409282174222</v>
      </c>
      <c r="G41" s="101">
        <f t="shared" si="4"/>
        <v>-49.13470830297365</v>
      </c>
      <c r="H41" s="102">
        <f t="shared" si="7"/>
        <v>-2.283449420518054E-2</v>
      </c>
      <c r="I41" s="101">
        <f t="shared" si="5"/>
        <v>-1</v>
      </c>
      <c r="J41" s="100">
        <f t="shared" si="6"/>
        <v>25.435300000000002</v>
      </c>
    </row>
    <row r="42" spans="1:10">
      <c r="A42" s="114" t="s">
        <v>76</v>
      </c>
      <c r="B42" s="113">
        <v>290.1318</v>
      </c>
      <c r="C42" s="112">
        <v>17752.049110166136</v>
      </c>
      <c r="D42" s="105">
        <v>17527.25333333333</v>
      </c>
      <c r="E42" s="104">
        <v>7.6412891608892419E-3</v>
      </c>
      <c r="F42" s="111">
        <f>'Fall 2021 P2 FON'!$D42*(1-'Fall 2021 P2 FON'!$E42)</f>
        <v>17393.322522417169</v>
      </c>
      <c r="G42" s="109">
        <f t="shared" si="4"/>
        <v>-358.72658774896627</v>
      </c>
      <c r="H42" s="110">
        <f t="shared" si="7"/>
        <v>-2.0207615781297771E-2</v>
      </c>
      <c r="I42" s="109">
        <f t="shared" si="5"/>
        <v>-6</v>
      </c>
      <c r="J42" s="81">
        <f t="shared" si="6"/>
        <v>284.1318</v>
      </c>
    </row>
    <row r="43" spans="1:10">
      <c r="A43" s="108" t="s">
        <v>211</v>
      </c>
      <c r="B43" s="107">
        <v>442.36059999999998</v>
      </c>
      <c r="C43" s="106">
        <v>22785.408866076432</v>
      </c>
      <c r="D43" s="105">
        <v>22850.506666666668</v>
      </c>
      <c r="E43" s="104">
        <v>7.6412941987565874E-3</v>
      </c>
      <c r="F43" s="103">
        <f>'Fall 2021 P2 FON'!$D43*(1-'Fall 2021 P2 FON'!$E43)</f>
        <v>22675.899222636021</v>
      </c>
      <c r="G43" s="101">
        <f t="shared" si="4"/>
        <v>-109.50964344041131</v>
      </c>
      <c r="H43" s="102">
        <f t="shared" si="7"/>
        <v>-4.8061302776731124E-3</v>
      </c>
      <c r="I43" s="101">
        <f t="shared" si="5"/>
        <v>-3</v>
      </c>
      <c r="J43" s="100">
        <f t="shared" si="6"/>
        <v>439.36059999999998</v>
      </c>
    </row>
    <row r="44" spans="1:10">
      <c r="A44" s="114" t="s">
        <v>77</v>
      </c>
      <c r="B44" s="113">
        <v>302.85899999999998</v>
      </c>
      <c r="C44" s="112">
        <v>16667.208287036414</v>
      </c>
      <c r="D44" s="105">
        <v>15498.193333333335</v>
      </c>
      <c r="E44" s="104">
        <v>7.6412958188101232E-3</v>
      </c>
      <c r="F44" s="111">
        <f>'Fall 2021 P2 FON'!$D44*(1-'Fall 2021 P2 FON'!$E44)</f>
        <v>15379.767053416224</v>
      </c>
      <c r="G44" s="109">
        <f t="shared" si="4"/>
        <v>-1287.4412336201895</v>
      </c>
      <c r="H44" s="110">
        <f t="shared" si="7"/>
        <v>-7.7243963802957227E-2</v>
      </c>
      <c r="I44" s="109">
        <f t="shared" si="5"/>
        <v>-24</v>
      </c>
      <c r="J44" s="81">
        <f t="shared" si="6"/>
        <v>278.85899999999998</v>
      </c>
    </row>
    <row r="45" spans="1:10">
      <c r="A45" s="108" t="s">
        <v>78</v>
      </c>
      <c r="B45" s="107">
        <v>349.36529999999999</v>
      </c>
      <c r="C45" s="106">
        <v>20551.916689266658</v>
      </c>
      <c r="D45" s="105">
        <v>21384.190000000002</v>
      </c>
      <c r="E45" s="104">
        <v>7.6412920390805938E-3</v>
      </c>
      <c r="F45" s="103">
        <f>'Fall 2021 P2 FON'!$D45*(1-'Fall 2021 P2 FON'!$E45)</f>
        <v>21220.787159190815</v>
      </c>
      <c r="G45" s="101">
        <f t="shared" si="4"/>
        <v>668.87046992415708</v>
      </c>
      <c r="H45" s="102">
        <f t="shared" si="7"/>
        <v>3.2545405863457888E-2</v>
      </c>
      <c r="I45" s="101">
        <f t="shared" si="5"/>
        <v>11</v>
      </c>
      <c r="J45" s="100">
        <f t="shared" si="6"/>
        <v>360.36529999999999</v>
      </c>
    </row>
    <row r="46" spans="1:10">
      <c r="A46" s="114" t="s">
        <v>79</v>
      </c>
      <c r="B46" s="113">
        <v>62.157499999999999</v>
      </c>
      <c r="C46" s="112">
        <v>3589.9997589815071</v>
      </c>
      <c r="D46" s="105">
        <v>3579.8866666666668</v>
      </c>
      <c r="E46" s="104">
        <v>7.6412971278110309E-3</v>
      </c>
      <c r="F46" s="111">
        <f>'Fall 2021 P2 FON'!$D46*(1-'Fall 2021 P2 FON'!$E46)</f>
        <v>3552.5316889627779</v>
      </c>
      <c r="G46" s="109">
        <f t="shared" si="4"/>
        <v>-37.468070018729122</v>
      </c>
      <c r="H46" s="110">
        <f t="shared" si="7"/>
        <v>-1.0436789006737682E-2</v>
      </c>
      <c r="I46" s="109">
        <f t="shared" si="5"/>
        <v>-1</v>
      </c>
      <c r="J46" s="81">
        <f t="shared" si="6"/>
        <v>61.157499999999999</v>
      </c>
    </row>
    <row r="47" spans="1:10">
      <c r="A47" s="108" t="s">
        <v>80</v>
      </c>
      <c r="B47" s="107">
        <v>223.8244</v>
      </c>
      <c r="C47" s="106">
        <v>12580.792154593652</v>
      </c>
      <c r="D47" s="105">
        <v>12646.116666666667</v>
      </c>
      <c r="E47" s="104">
        <v>7.6412945924473341E-3</v>
      </c>
      <c r="F47" s="103">
        <f>'Fall 2021 P2 FON'!$D47*(1-'Fall 2021 P2 FON'!$E47)</f>
        <v>12549.483963766208</v>
      </c>
      <c r="G47" s="101">
        <f t="shared" si="4"/>
        <v>-31.308190827443468</v>
      </c>
      <c r="H47" s="102">
        <f t="shared" si="7"/>
        <v>-2.4885707070529612E-3</v>
      </c>
      <c r="I47" s="101">
        <f t="shared" si="5"/>
        <v>-1</v>
      </c>
      <c r="J47" s="100">
        <f t="shared" si="6"/>
        <v>222.8244</v>
      </c>
    </row>
    <row r="48" spans="1:10">
      <c r="A48" s="114" t="s">
        <v>81</v>
      </c>
      <c r="B48" s="113">
        <v>441.35449999999997</v>
      </c>
      <c r="C48" s="112">
        <v>30371.151193377333</v>
      </c>
      <c r="D48" s="105">
        <v>30285.236593232767</v>
      </c>
      <c r="E48" s="104">
        <v>7.6412944187075338E-3</v>
      </c>
      <c r="F48" s="111">
        <f>'Fall 2021 P2 FON'!$D48*(1-'Fall 2021 P2 FON'!$E48)</f>
        <v>30053.818183883661</v>
      </c>
      <c r="G48" s="109">
        <f t="shared" si="4"/>
        <v>-317.33300949367185</v>
      </c>
      <c r="H48" s="110">
        <f t="shared" si="7"/>
        <v>-1.0448501193555969E-2</v>
      </c>
      <c r="I48" s="109">
        <f t="shared" si="5"/>
        <v>-5</v>
      </c>
      <c r="J48" s="81">
        <f t="shared" si="6"/>
        <v>436.35449999999997</v>
      </c>
    </row>
    <row r="49" spans="1:10">
      <c r="A49" s="108" t="s">
        <v>82</v>
      </c>
      <c r="B49" s="107">
        <v>242.38229999999999</v>
      </c>
      <c r="C49" s="106">
        <v>15036.802042947276</v>
      </c>
      <c r="D49" s="105">
        <v>14911.46</v>
      </c>
      <c r="E49" s="104">
        <v>7.6412919779814681E-3</v>
      </c>
      <c r="F49" s="103">
        <f>'Fall 2021 P2 FON'!$D49*(1-'Fall 2021 P2 FON'!$E49)</f>
        <v>14797.517180322007</v>
      </c>
      <c r="G49" s="101">
        <f t="shared" si="4"/>
        <v>-239.28486262526894</v>
      </c>
      <c r="H49" s="102">
        <f t="shared" si="7"/>
        <v>-1.5913281423924903E-2</v>
      </c>
      <c r="I49" s="101">
        <f t="shared" si="5"/>
        <v>-4</v>
      </c>
      <c r="J49" s="100">
        <f t="shared" si="6"/>
        <v>238.38229999999999</v>
      </c>
    </row>
    <row r="50" spans="1:10">
      <c r="A50" s="114" t="s">
        <v>83</v>
      </c>
      <c r="B50" s="113">
        <v>547.00289999999995</v>
      </c>
      <c r="C50" s="112">
        <v>32819.693176259985</v>
      </c>
      <c r="D50" s="105">
        <v>31538.506666666664</v>
      </c>
      <c r="E50" s="104">
        <v>7.6412945428927515E-3</v>
      </c>
      <c r="F50" s="111">
        <f>'Fall 2021 P2 FON'!$D50*(1-'Fall 2021 P2 FON'!$E50)</f>
        <v>31297.511647783678</v>
      </c>
      <c r="G50" s="109">
        <f t="shared" si="4"/>
        <v>-1522.181528476307</v>
      </c>
      <c r="H50" s="110">
        <f t="shared" si="7"/>
        <v>-4.6380126721518894E-2</v>
      </c>
      <c r="I50" s="109">
        <f t="shared" si="5"/>
        <v>-26</v>
      </c>
      <c r="J50" s="81">
        <f t="shared" si="6"/>
        <v>521.00289999999995</v>
      </c>
    </row>
    <row r="51" spans="1:10">
      <c r="A51" s="108" t="s">
        <v>84</v>
      </c>
      <c r="B51" s="107">
        <v>204.06739999999999</v>
      </c>
      <c r="C51" s="106">
        <v>15666.137079340611</v>
      </c>
      <c r="D51" s="105">
        <v>15328.113333333333</v>
      </c>
      <c r="E51" s="104">
        <v>7.6412929260500917E-3</v>
      </c>
      <c r="F51" s="103">
        <f>'Fall 2021 P2 FON'!$D51*(1-'Fall 2021 P2 FON'!$E51)</f>
        <v>15210.986729349639</v>
      </c>
      <c r="G51" s="101">
        <f t="shared" si="4"/>
        <v>-455.15034999097224</v>
      </c>
      <c r="H51" s="102">
        <f t="shared" si="7"/>
        <v>-2.9053132095415671E-2</v>
      </c>
      <c r="I51" s="101">
        <f t="shared" si="5"/>
        <v>-6</v>
      </c>
      <c r="J51" s="100">
        <f t="shared" si="6"/>
        <v>198.06739999999999</v>
      </c>
    </row>
    <row r="52" spans="1:10">
      <c r="A52" s="114" t="s">
        <v>85</v>
      </c>
      <c r="B52" s="113">
        <v>236.05119999999999</v>
      </c>
      <c r="C52" s="112">
        <v>15580.575005828065</v>
      </c>
      <c r="D52" s="105">
        <v>15584.902178276403</v>
      </c>
      <c r="E52" s="104">
        <v>7.6412949242060657E-3</v>
      </c>
      <c r="F52" s="111">
        <f>'Fall 2021 P2 FON'!$D52*(1-'Fall 2021 P2 FON'!$E52)</f>
        <v>15465.813344367292</v>
      </c>
      <c r="G52" s="109">
        <f t="shared" si="4"/>
        <v>-114.7616614607723</v>
      </c>
      <c r="H52" s="110">
        <f t="shared" si="7"/>
        <v>-7.3656884561606097E-3</v>
      </c>
      <c r="I52" s="109">
        <f t="shared" si="5"/>
        <v>-2</v>
      </c>
      <c r="J52" s="81">
        <f t="shared" si="6"/>
        <v>234.05119999999999</v>
      </c>
    </row>
    <row r="53" spans="1:10">
      <c r="A53" s="108" t="s">
        <v>86</v>
      </c>
      <c r="B53" s="107">
        <v>192.82929999999999</v>
      </c>
      <c r="C53" s="106">
        <v>11707.819996999999</v>
      </c>
      <c r="D53" s="105">
        <v>11994.223333333333</v>
      </c>
      <c r="E53" s="104">
        <v>0</v>
      </c>
      <c r="F53" s="103">
        <f>'Fall 2021 P2 FON'!$D53*(1-'Fall 2021 P2 FON'!$E53)</f>
        <v>11994.223333333333</v>
      </c>
      <c r="G53" s="101">
        <f t="shared" si="4"/>
        <v>286.40333633333466</v>
      </c>
      <c r="H53" s="102">
        <f t="shared" si="7"/>
        <v>2.4462567446947629E-2</v>
      </c>
      <c r="I53" s="101">
        <f t="shared" si="5"/>
        <v>4</v>
      </c>
      <c r="J53" s="100">
        <f t="shared" si="6"/>
        <v>196.82929999999999</v>
      </c>
    </row>
    <row r="54" spans="1:10">
      <c r="A54" s="114" t="s">
        <v>87</v>
      </c>
      <c r="B54" s="113">
        <v>121.1765</v>
      </c>
      <c r="C54" s="112">
        <v>7357.5364281311804</v>
      </c>
      <c r="D54" s="105">
        <v>7304.5166666666673</v>
      </c>
      <c r="E54" s="104">
        <v>7.6412999085267996E-3</v>
      </c>
      <c r="F54" s="111">
        <f>'Fall 2021 P2 FON'!$D54*(1-'Fall 2021 P2 FON'!$E54)</f>
        <v>7248.7006641298349</v>
      </c>
      <c r="G54" s="109">
        <f t="shared" si="4"/>
        <v>-108.83576400134552</v>
      </c>
      <c r="H54" s="110">
        <f t="shared" si="7"/>
        <v>-1.4792419319219039E-2</v>
      </c>
      <c r="I54" s="109">
        <f t="shared" si="5"/>
        <v>-2</v>
      </c>
      <c r="J54" s="81">
        <f t="shared" si="6"/>
        <v>119.1765</v>
      </c>
    </row>
    <row r="55" spans="1:10">
      <c r="A55" s="108" t="s">
        <v>88</v>
      </c>
      <c r="B55" s="107">
        <v>277.73450000000003</v>
      </c>
      <c r="C55" s="106">
        <v>15171.926666666664</v>
      </c>
      <c r="D55" s="105">
        <v>14888.130000000001</v>
      </c>
      <c r="E55" s="104">
        <v>0</v>
      </c>
      <c r="F55" s="103">
        <f>'Fall 2021 P2 FON'!$D55*(1-'Fall 2021 P2 FON'!$E55)</f>
        <v>14888.130000000001</v>
      </c>
      <c r="G55" s="101">
        <f t="shared" si="4"/>
        <v>-283.79666666666344</v>
      </c>
      <c r="H55" s="102">
        <f t="shared" si="7"/>
        <v>-1.8705380859121615E-2</v>
      </c>
      <c r="I55" s="101">
        <f t="shared" si="5"/>
        <v>-6</v>
      </c>
      <c r="J55" s="100">
        <f t="shared" si="6"/>
        <v>271.73450000000003</v>
      </c>
    </row>
    <row r="56" spans="1:10">
      <c r="A56" s="114" t="s">
        <v>89</v>
      </c>
      <c r="B56" s="113">
        <v>213.14959999999999</v>
      </c>
      <c r="C56" s="112">
        <v>11402.560792620356</v>
      </c>
      <c r="D56" s="105">
        <v>11320.623333333333</v>
      </c>
      <c r="E56" s="104">
        <v>7.6412879580819437E-3</v>
      </c>
      <c r="F56" s="111">
        <f>'Fall 2021 P2 FON'!$D56*(1-'Fall 2021 P2 FON'!$E56)</f>
        <v>11234.119190578351</v>
      </c>
      <c r="G56" s="109">
        <f t="shared" si="4"/>
        <v>-168.44160204200489</v>
      </c>
      <c r="H56" s="110">
        <f t="shared" si="7"/>
        <v>-1.4772260819781721E-2</v>
      </c>
      <c r="I56" s="109">
        <f t="shared" si="5"/>
        <v>-4</v>
      </c>
      <c r="J56" s="81">
        <f t="shared" si="6"/>
        <v>209.14959999999999</v>
      </c>
    </row>
    <row r="57" spans="1:10">
      <c r="A57" s="108" t="s">
        <v>90</v>
      </c>
      <c r="B57" s="107">
        <v>224.6576</v>
      </c>
      <c r="C57" s="106">
        <v>16158.976033404804</v>
      </c>
      <c r="D57" s="105">
        <v>16058.68482700598</v>
      </c>
      <c r="E57" s="104">
        <v>7.6412910713848925E-3</v>
      </c>
      <c r="F57" s="103">
        <f>'Fall 2021 P2 FON'!$D57*(1-'Fall 2021 P2 FON'!$E57)</f>
        <v>15935.975742019195</v>
      </c>
      <c r="G57" s="101">
        <f t="shared" si="4"/>
        <v>-223.00029138560967</v>
      </c>
      <c r="H57" s="102">
        <f t="shared" si="7"/>
        <v>-1.3800397433885048E-2</v>
      </c>
      <c r="I57" s="101">
        <f t="shared" si="5"/>
        <v>-4</v>
      </c>
      <c r="J57" s="100">
        <f t="shared" si="6"/>
        <v>220.6576</v>
      </c>
    </row>
    <row r="58" spans="1:10">
      <c r="A58" s="114" t="s">
        <v>91</v>
      </c>
      <c r="B58" s="113">
        <v>257.58</v>
      </c>
      <c r="C58" s="112">
        <v>18923.832904583462</v>
      </c>
      <c r="D58" s="105">
        <v>19643.73</v>
      </c>
      <c r="E58" s="104">
        <v>7.6412930340189478E-3</v>
      </c>
      <c r="F58" s="111">
        <f>'Fall 2021 P2 FON'!$D58*(1-'Fall 2021 P2 FON'!$E58)</f>
        <v>19493.626502788851</v>
      </c>
      <c r="G58" s="109">
        <f t="shared" si="4"/>
        <v>569.79359820538957</v>
      </c>
      <c r="H58" s="110">
        <f t="shared" si="7"/>
        <v>3.0109840912164378E-2</v>
      </c>
      <c r="I58" s="109">
        <f t="shared" si="5"/>
        <v>7</v>
      </c>
      <c r="J58" s="81">
        <f t="shared" si="6"/>
        <v>264.58</v>
      </c>
    </row>
    <row r="59" spans="1:10">
      <c r="A59" s="108" t="s">
        <v>92</v>
      </c>
      <c r="B59" s="107">
        <v>208.28219999999999</v>
      </c>
      <c r="C59" s="106">
        <v>9713.25040079053</v>
      </c>
      <c r="D59" s="105">
        <v>9709.9480662744027</v>
      </c>
      <c r="E59" s="104">
        <v>7.6412913717093245E-3</v>
      </c>
      <c r="F59" s="103">
        <f>'Fall 2021 P2 FON'!$D59*(1-'Fall 2021 P2 FON'!$E59)</f>
        <v>9635.7515238958349</v>
      </c>
      <c r="G59" s="101">
        <f t="shared" si="4"/>
        <v>-77.498876894695059</v>
      </c>
      <c r="H59" s="102">
        <f t="shared" si="7"/>
        <v>-7.9786759011574206E-3</v>
      </c>
      <c r="I59" s="101">
        <f t="shared" si="5"/>
        <v>-2</v>
      </c>
      <c r="J59" s="100">
        <f t="shared" si="6"/>
        <v>206.28219999999999</v>
      </c>
    </row>
    <row r="60" spans="1:10">
      <c r="A60" s="114" t="s">
        <v>93</v>
      </c>
      <c r="B60" s="113">
        <v>116.30240000000001</v>
      </c>
      <c r="C60" s="112">
        <v>6643.9539455109743</v>
      </c>
      <c r="D60" s="105">
        <v>6956.7333226384962</v>
      </c>
      <c r="E60" s="104">
        <v>7.641300191444933E-3</v>
      </c>
      <c r="F60" s="111">
        <f>'Fall 2021 P2 FON'!$D60*(1-'Fall 2021 P2 FON'!$E60)</f>
        <v>6903.5748349683872</v>
      </c>
      <c r="G60" s="109">
        <f t="shared" si="4"/>
        <v>259.62088945741289</v>
      </c>
      <c r="H60" s="110">
        <f t="shared" si="7"/>
        <v>3.9076262657243017E-2</v>
      </c>
      <c r="I60" s="109">
        <f t="shared" si="5"/>
        <v>4</v>
      </c>
      <c r="J60" s="81">
        <f t="shared" si="6"/>
        <v>120.30240000000001</v>
      </c>
    </row>
    <row r="61" spans="1:10">
      <c r="A61" s="108" t="s">
        <v>94</v>
      </c>
      <c r="B61" s="107">
        <v>205.73349999999999</v>
      </c>
      <c r="C61" s="106">
        <v>13925.503392999999</v>
      </c>
      <c r="D61" s="105">
        <v>13548.49</v>
      </c>
      <c r="E61" s="104">
        <v>0</v>
      </c>
      <c r="F61" s="103">
        <f>'Fall 2021 P2 FON'!$D61*(1-'Fall 2021 P2 FON'!$E61)</f>
        <v>13548.49</v>
      </c>
      <c r="G61" s="101">
        <f t="shared" si="4"/>
        <v>-377.01339299999927</v>
      </c>
      <c r="H61" s="102">
        <f t="shared" si="7"/>
        <v>-2.7073591694323555E-2</v>
      </c>
      <c r="I61" s="101">
        <f t="shared" si="5"/>
        <v>-6</v>
      </c>
      <c r="J61" s="100">
        <f t="shared" si="6"/>
        <v>199.73349999999999</v>
      </c>
    </row>
    <row r="62" spans="1:10">
      <c r="A62" s="114" t="s">
        <v>212</v>
      </c>
      <c r="B62" s="113">
        <v>26.056600000000003</v>
      </c>
      <c r="C62" s="112">
        <v>1555.180122729048</v>
      </c>
      <c r="D62" s="105">
        <v>1480.0533333333333</v>
      </c>
      <c r="E62" s="104">
        <v>7.6413024083089587E-3</v>
      </c>
      <c r="F62" s="111">
        <f>'Fall 2021 P2 FON'!$D62*(1-'Fall 2021 P2 FON'!$E62)</f>
        <v>1468.7437982329077</v>
      </c>
      <c r="G62" s="109">
        <f t="shared" si="4"/>
        <v>-86.436324496140287</v>
      </c>
      <c r="H62" s="110">
        <f t="shared" si="7"/>
        <v>-5.5579622728498375E-2</v>
      </c>
      <c r="I62" s="109">
        <f t="shared" si="5"/>
        <v>-2</v>
      </c>
      <c r="J62" s="81">
        <f t="shared" si="6"/>
        <v>24.056600000000003</v>
      </c>
    </row>
    <row r="63" spans="1:10">
      <c r="A63" s="108" t="s">
        <v>95</v>
      </c>
      <c r="B63" s="107">
        <v>129.7518</v>
      </c>
      <c r="C63" s="106">
        <v>6998.9577047834855</v>
      </c>
      <c r="D63" s="105">
        <v>6756.1100000000006</v>
      </c>
      <c r="E63" s="104">
        <v>7.641286348163967E-3</v>
      </c>
      <c r="F63" s="103">
        <f>'Fall 2021 P2 FON'!$D63*(1-'Fall 2021 P2 FON'!$E63)</f>
        <v>6704.4846288903063</v>
      </c>
      <c r="G63" s="101">
        <f t="shared" si="4"/>
        <v>-294.47307589317916</v>
      </c>
      <c r="H63" s="102">
        <f t="shared" si="7"/>
        <v>-4.2073847037526674E-2</v>
      </c>
      <c r="I63" s="101">
        <f t="shared" si="5"/>
        <v>-6</v>
      </c>
      <c r="J63" s="100">
        <f t="shared" si="6"/>
        <v>123.7518</v>
      </c>
    </row>
    <row r="64" spans="1:10">
      <c r="A64" s="114" t="s">
        <v>213</v>
      </c>
      <c r="B64" s="113">
        <v>289.63409999999999</v>
      </c>
      <c r="C64" s="112">
        <v>16147.094408558653</v>
      </c>
      <c r="D64" s="105">
        <v>16207.026666666667</v>
      </c>
      <c r="E64" s="104">
        <v>7.6412970686291493E-3</v>
      </c>
      <c r="F64" s="111">
        <f>'Fall 2021 P2 FON'!$D64*(1-'Fall 2021 P2 FON'!$E64)</f>
        <v>16083.183961307472</v>
      </c>
      <c r="G64" s="109">
        <f t="shared" si="4"/>
        <v>-63.910447251180813</v>
      </c>
      <c r="H64" s="110">
        <f t="shared" si="7"/>
        <v>-3.95801533291993E-3</v>
      </c>
      <c r="I64" s="109">
        <f t="shared" si="5"/>
        <v>-2</v>
      </c>
      <c r="J64" s="81">
        <f t="shared" si="6"/>
        <v>287.63409999999999</v>
      </c>
    </row>
    <row r="65" spans="1:10">
      <c r="A65" s="108" t="s">
        <v>214</v>
      </c>
      <c r="B65" s="107">
        <v>397.79559999999998</v>
      </c>
      <c r="C65" s="106">
        <v>23730.300000000003</v>
      </c>
      <c r="D65" s="105">
        <v>23426.75333333333</v>
      </c>
      <c r="E65" s="104">
        <v>0</v>
      </c>
      <c r="F65" s="103">
        <f>'Fall 2021 P2 FON'!$D65*(1-'Fall 2021 P2 FON'!$E65)</f>
        <v>23426.75333333333</v>
      </c>
      <c r="G65" s="101">
        <f t="shared" si="4"/>
        <v>-303.54666666667254</v>
      </c>
      <c r="H65" s="102">
        <f t="shared" si="7"/>
        <v>-1.2791522512006695E-2</v>
      </c>
      <c r="I65" s="101">
        <f t="shared" si="5"/>
        <v>-6</v>
      </c>
      <c r="J65" s="100">
        <f t="shared" si="6"/>
        <v>391.79559999999998</v>
      </c>
    </row>
    <row r="66" spans="1:10">
      <c r="A66" s="114" t="s">
        <v>96</v>
      </c>
      <c r="B66" s="113">
        <v>247.16680000000002</v>
      </c>
      <c r="C66" s="112">
        <v>14049.123924282261</v>
      </c>
      <c r="D66" s="105">
        <v>14745.503333333336</v>
      </c>
      <c r="E66" s="104">
        <v>7.6412919943465996E-3</v>
      </c>
      <c r="F66" s="111">
        <f>'Fall 2021 P2 FON'!$D66*(1-'Fall 2021 P2 FON'!$E66)</f>
        <v>14632.828636759725</v>
      </c>
      <c r="G66" s="109">
        <f t="shared" si="4"/>
        <v>583.70471247746354</v>
      </c>
      <c r="H66" s="110">
        <f t="shared" si="7"/>
        <v>4.1547410046586498E-2</v>
      </c>
      <c r="I66" s="109">
        <f t="shared" si="5"/>
        <v>10</v>
      </c>
      <c r="J66" s="81">
        <f t="shared" si="6"/>
        <v>257.16680000000002</v>
      </c>
    </row>
    <row r="67" spans="1:10">
      <c r="A67" s="108" t="s">
        <v>97</v>
      </c>
      <c r="B67" s="107">
        <v>605.25130000000001</v>
      </c>
      <c r="C67" s="106">
        <v>31484.224865147324</v>
      </c>
      <c r="D67" s="105">
        <v>31183.520394841693</v>
      </c>
      <c r="E67" s="104">
        <v>7.6412946248266556E-3</v>
      </c>
      <c r="F67" s="103">
        <f>'Fall 2021 P2 FON'!$D67*(1-'Fall 2021 P2 FON'!$E67)</f>
        <v>30945.237928065417</v>
      </c>
      <c r="G67" s="101">
        <f t="shared" ref="G67:G74" si="8">F67-C67</f>
        <v>-538.98693708190694</v>
      </c>
      <c r="H67" s="102">
        <f t="shared" si="7"/>
        <v>-1.7119269710163941E-2</v>
      </c>
      <c r="I67" s="101">
        <f t="shared" ref="I67:I75" si="9">IF(B67*H67&gt;=0,ROUNDDOWN(B67*H67,0),ROUNDUP(B67*H67,0))</f>
        <v>-11</v>
      </c>
      <c r="J67" s="100">
        <f t="shared" ref="J67:J74" si="10">B67+I67</f>
        <v>594.25130000000001</v>
      </c>
    </row>
    <row r="68" spans="1:10">
      <c r="A68" s="114" t="s">
        <v>98</v>
      </c>
      <c r="B68" s="113">
        <v>426.83260000000001</v>
      </c>
      <c r="C68" s="112">
        <v>25789.155819679891</v>
      </c>
      <c r="D68" s="105">
        <v>25496.356666666663</v>
      </c>
      <c r="E68" s="104">
        <v>7.6412908381159328E-3</v>
      </c>
      <c r="F68" s="111">
        <f>'Fall 2021 P2 FON'!$D68*(1-'Fall 2021 P2 FON'!$E68)</f>
        <v>25301.531590064325</v>
      </c>
      <c r="G68" s="109">
        <f t="shared" si="8"/>
        <v>-487.62422961556513</v>
      </c>
      <c r="H68" s="110">
        <f t="shared" si="7"/>
        <v>-1.8908111340482713E-2</v>
      </c>
      <c r="I68" s="109">
        <f t="shared" si="9"/>
        <v>-9</v>
      </c>
      <c r="J68" s="81">
        <f t="shared" si="10"/>
        <v>417.83260000000001</v>
      </c>
    </row>
    <row r="69" spans="1:10">
      <c r="A69" s="108" t="s">
        <v>99</v>
      </c>
      <c r="B69" s="107">
        <v>131.01429999999999</v>
      </c>
      <c r="C69" s="106">
        <v>9456.8684767279501</v>
      </c>
      <c r="D69" s="105">
        <v>8682.6533333333336</v>
      </c>
      <c r="E69" s="104">
        <v>7.6412968066954523E-3</v>
      </c>
      <c r="F69" s="103">
        <f>'Fall 2021 P2 FON'!$D69*(1-'Fall 2021 P2 FON'!$E69)</f>
        <v>8616.3066021436898</v>
      </c>
      <c r="G69" s="101">
        <f t="shared" si="8"/>
        <v>-840.56187458426029</v>
      </c>
      <c r="H69" s="102">
        <f t="shared" ref="H69:H75" si="11">G69/C69</f>
        <v>-8.8883743773403134E-2</v>
      </c>
      <c r="I69" s="101">
        <f t="shared" si="9"/>
        <v>-12</v>
      </c>
      <c r="J69" s="100">
        <f t="shared" si="10"/>
        <v>119.01429999999999</v>
      </c>
    </row>
    <row r="70" spans="1:10">
      <c r="A70" s="114" t="s">
        <v>100</v>
      </c>
      <c r="B70" s="113">
        <v>93.5732</v>
      </c>
      <c r="C70" s="112">
        <v>5534.0069673808202</v>
      </c>
      <c r="D70" s="105">
        <v>5314.7836070000003</v>
      </c>
      <c r="E70" s="104">
        <v>7.6412911831907904E-3</v>
      </c>
      <c r="F70" s="111">
        <f>'Fall 2021 P2 FON'!$D70*(1-'Fall 2021 P2 FON'!$E70)</f>
        <v>5274.1717978832639</v>
      </c>
      <c r="G70" s="109">
        <f t="shared" si="8"/>
        <v>-259.83516949755631</v>
      </c>
      <c r="H70" s="110">
        <f t="shared" si="11"/>
        <v>-4.6952447119981346E-2</v>
      </c>
      <c r="I70" s="109">
        <f t="shared" si="9"/>
        <v>-5</v>
      </c>
      <c r="J70" s="81">
        <f t="shared" si="10"/>
        <v>88.5732</v>
      </c>
    </row>
    <row r="71" spans="1:10">
      <c r="A71" s="108" t="s">
        <v>101</v>
      </c>
      <c r="B71" s="107">
        <v>63.719900000000003</v>
      </c>
      <c r="C71" s="106">
        <v>2861.0280691063717</v>
      </c>
      <c r="D71" s="105">
        <v>2870.724114356537</v>
      </c>
      <c r="E71" s="104">
        <v>7.6412897536172197E-3</v>
      </c>
      <c r="F71" s="103">
        <f>'Fall 2021 P2 FON'!$D71*(1-'Fall 2021 P2 FON'!$E71)</f>
        <v>2848.7880795960427</v>
      </c>
      <c r="G71" s="101">
        <f t="shared" si="8"/>
        <v>-12.239989510328996</v>
      </c>
      <c r="H71" s="102">
        <f t="shared" si="11"/>
        <v>-4.2781787576631845E-3</v>
      </c>
      <c r="I71" s="101">
        <f t="shared" si="9"/>
        <v>-1</v>
      </c>
      <c r="J71" s="100">
        <f t="shared" si="10"/>
        <v>62.719900000000003</v>
      </c>
    </row>
    <row r="72" spans="1:10">
      <c r="A72" s="114" t="s">
        <v>102</v>
      </c>
      <c r="B72" s="113">
        <v>231.1437</v>
      </c>
      <c r="C72" s="112">
        <v>10957.87</v>
      </c>
      <c r="D72" s="105">
        <v>10635.203333333333</v>
      </c>
      <c r="E72" s="104">
        <v>0</v>
      </c>
      <c r="F72" s="111">
        <f>'Fall 2021 P2 FON'!$D72*(1-'Fall 2021 P2 FON'!$E72)</f>
        <v>10635.203333333333</v>
      </c>
      <c r="G72" s="109">
        <f t="shared" si="8"/>
        <v>-322.66666666666788</v>
      </c>
      <c r="H72" s="110">
        <f t="shared" si="11"/>
        <v>-2.9446111942071574E-2</v>
      </c>
      <c r="I72" s="109">
        <f t="shared" si="9"/>
        <v>-7</v>
      </c>
      <c r="J72" s="81">
        <f t="shared" si="10"/>
        <v>224.1437</v>
      </c>
    </row>
    <row r="73" spans="1:10">
      <c r="A73" s="108" t="s">
        <v>103</v>
      </c>
      <c r="B73" s="107">
        <v>290.23689999999999</v>
      </c>
      <c r="C73" s="106">
        <v>15703.773468745831</v>
      </c>
      <c r="D73" s="105">
        <v>15719.6</v>
      </c>
      <c r="E73" s="104">
        <v>7.6412889817539797E-3</v>
      </c>
      <c r="F73" s="103">
        <f>'Fall 2021 P2 FON'!$D73*(1-'Fall 2021 P2 FON'!$E73)</f>
        <v>15599.48199372242</v>
      </c>
      <c r="G73" s="101">
        <f t="shared" si="8"/>
        <v>-104.29147502341038</v>
      </c>
      <c r="H73" s="102">
        <f t="shared" si="11"/>
        <v>-6.6411729149668851E-3</v>
      </c>
      <c r="I73" s="101">
        <f t="shared" si="9"/>
        <v>-2</v>
      </c>
      <c r="J73" s="100">
        <f t="shared" si="10"/>
        <v>288.23689999999999</v>
      </c>
    </row>
    <row r="74" spans="1:10" ht="15.75" thickBot="1">
      <c r="A74" s="99" t="s">
        <v>104</v>
      </c>
      <c r="B74" s="98">
        <v>98.106399999999994</v>
      </c>
      <c r="C74" s="97">
        <v>7301.2359002029798</v>
      </c>
      <c r="D74" s="96">
        <v>7327.3400000000011</v>
      </c>
      <c r="E74" s="95">
        <v>7.6412862992667474E-3</v>
      </c>
      <c r="F74" s="94">
        <f>'Fall 2021 P2 FON'!$D74*(1-'Fall 2021 P2 FON'!$E74)</f>
        <v>7271.3496972479315</v>
      </c>
      <c r="G74" s="92">
        <f t="shared" si="8"/>
        <v>-29.886202955048248</v>
      </c>
      <c r="H74" s="93">
        <f t="shared" si="11"/>
        <v>-4.0933074021368612E-3</v>
      </c>
      <c r="I74" s="92">
        <f t="shared" si="9"/>
        <v>-1</v>
      </c>
      <c r="J74" s="91">
        <f t="shared" si="10"/>
        <v>97.106399999999994</v>
      </c>
    </row>
    <row r="75" spans="1:10">
      <c r="A75" s="90" t="s">
        <v>215</v>
      </c>
      <c r="B75" s="89">
        <f>SUBTOTAL(109,Fall2021P2_ComplianceFON_Calcs[Base FON:
(2019-20 R1 FON)
(a)])</f>
        <v>17552.251999999997</v>
      </c>
      <c r="C75" s="88">
        <f>SUBTOTAL(109,Fall2021P2_ComplianceFON_Calcs[Base Credit FTES: 
2019-20 R1 Funded Credit FTES
(b)])</f>
        <v>1039836.7652871475</v>
      </c>
      <c r="D75" s="87">
        <f>SUBTOTAL(109,Fall2021P2_ComplianceFON_Calcs[Funded Credit FTES:
(2020-21 P2 Funded Credit FTES)
(c )])</f>
        <v>1032475.3139713071</v>
      </c>
      <c r="E75" s="86"/>
      <c r="F75" s="85">
        <f>SUBTOTAL(109,Fall2021P2_ComplianceFON_Calcs[Funded Credit FTES adjusted for Deficit Percentage
(e = c*(1-d))])</f>
        <v>1025283.7495110042</v>
      </c>
      <c r="G75" s="84">
        <f>SUBTOTAL(109,Fall2021P2_ComplianceFON_Calcs[Change in FTES 
Growth (Decline)
(f = e-b)])</f>
        <v>-14553.015776143358</v>
      </c>
      <c r="H75" s="83">
        <f t="shared" si="11"/>
        <v>-1.3995481081229697E-2</v>
      </c>
      <c r="I75" s="82">
        <f t="shared" si="9"/>
        <v>-246</v>
      </c>
      <c r="J75" s="81">
        <f>SUBTOTAL(109,Fall2021P2_ComplianceFON_Calcs[Fall 2021 P2
FON 
(i = a + h )])</f>
        <v>17269.251999999997</v>
      </c>
    </row>
  </sheetData>
  <sheetProtection sheet="1" objects="1" scenarios="1"/>
  <pageMargins left="0.7" right="0.7" top="0.75" bottom="0.75" header="0.3" footer="0.3"/>
  <pageSetup scale="59" fitToHeight="0" orientation="landscape" r:id="rId1"/>
  <headerFooter>
    <oddFooter>&amp;R&amp;D</oddFooter>
  </headerFooter>
  <rowBreaks count="1" manualBreakCount="1">
    <brk id="50" max="9" man="1"/>
  </rowBreaks>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1"/>
  <sheetViews>
    <sheetView showGridLines="0" zoomScale="120" zoomScaleNormal="120" workbookViewId="0">
      <selection activeCell="D3" sqref="D3"/>
    </sheetView>
  </sheetViews>
  <sheetFormatPr defaultColWidth="8.85546875" defaultRowHeight="15"/>
  <cols>
    <col min="1" max="2" width="8.85546875" style="50"/>
    <col min="3" max="3" width="8.28515625" style="50" bestFit="1" customWidth="1"/>
    <col min="4" max="4" width="44.85546875" style="50" customWidth="1"/>
    <col min="5" max="5" width="15.7109375" style="51" customWidth="1"/>
    <col min="6" max="16384" width="8.85546875" style="50"/>
  </cols>
  <sheetData>
    <row r="1" spans="2:6">
      <c r="B1" s="52"/>
      <c r="C1" s="52"/>
      <c r="D1" s="52"/>
      <c r="E1" s="53"/>
      <c r="F1" s="52"/>
    </row>
    <row r="2" spans="2:6" s="66" customFormat="1">
      <c r="C2" s="62" t="s">
        <v>235</v>
      </c>
      <c r="D2" s="55"/>
      <c r="E2" s="56"/>
      <c r="F2" s="66" t="s">
        <v>236</v>
      </c>
    </row>
    <row r="3" spans="2:6">
      <c r="B3" s="52"/>
      <c r="C3" s="62" t="s">
        <v>207</v>
      </c>
      <c r="D3" s="65"/>
      <c r="E3" s="56"/>
      <c r="F3" s="52" t="s">
        <v>206</v>
      </c>
    </row>
    <row r="4" spans="2:6">
      <c r="B4" s="52"/>
      <c r="C4" s="62" t="s">
        <v>205</v>
      </c>
      <c r="D4" s="55"/>
      <c r="E4" s="56"/>
      <c r="F4" s="52"/>
    </row>
    <row r="5" spans="2:6">
      <c r="B5" s="52"/>
      <c r="C5" s="55"/>
      <c r="D5" s="55" t="s">
        <v>204</v>
      </c>
      <c r="E5" s="64"/>
      <c r="F5" s="52" t="s">
        <v>203</v>
      </c>
    </row>
    <row r="6" spans="2:6">
      <c r="B6" s="52"/>
      <c r="C6" s="55"/>
      <c r="D6" s="55" t="s">
        <v>202</v>
      </c>
      <c r="E6" s="63"/>
      <c r="F6" s="52" t="s">
        <v>201</v>
      </c>
    </row>
    <row r="7" spans="2:6">
      <c r="B7" s="52"/>
      <c r="C7" s="55"/>
      <c r="D7" s="55"/>
      <c r="E7" s="56"/>
      <c r="F7" s="52"/>
    </row>
    <row r="8" spans="2:6">
      <c r="B8" s="52"/>
      <c r="C8" s="55"/>
      <c r="D8" s="55"/>
      <c r="E8" s="56"/>
      <c r="F8" s="52"/>
    </row>
    <row r="9" spans="2:6">
      <c r="B9" s="52"/>
      <c r="C9" s="62" t="s">
        <v>200</v>
      </c>
      <c r="D9" s="55"/>
      <c r="E9" s="56"/>
      <c r="F9" s="52"/>
    </row>
    <row r="10" spans="2:6">
      <c r="B10" s="52"/>
      <c r="C10" s="56" t="s">
        <v>199</v>
      </c>
      <c r="D10" s="55" t="s">
        <v>198</v>
      </c>
      <c r="E10" s="54" t="e">
        <f>VLOOKUP($D$3,Fall2021P2ComplianceFONCalc,2,FALSE)</f>
        <v>#N/A</v>
      </c>
      <c r="F10" s="61" t="s">
        <v>195</v>
      </c>
    </row>
    <row r="11" spans="2:6">
      <c r="B11" s="52"/>
      <c r="C11" s="56" t="s">
        <v>197</v>
      </c>
      <c r="D11" s="55" t="s">
        <v>196</v>
      </c>
      <c r="E11" s="60" t="e">
        <f>VLOOKUP($D$3,Fall2021P2ComplianceFONCalc,3,FALSE)</f>
        <v>#N/A</v>
      </c>
      <c r="F11" s="61" t="s">
        <v>195</v>
      </c>
    </row>
    <row r="12" spans="2:6">
      <c r="B12" s="52"/>
      <c r="C12" s="56" t="s">
        <v>194</v>
      </c>
      <c r="D12" s="55" t="s">
        <v>193</v>
      </c>
      <c r="E12" s="60">
        <f>E5</f>
        <v>0</v>
      </c>
      <c r="F12" s="52" t="s">
        <v>192</v>
      </c>
    </row>
    <row r="13" spans="2:6">
      <c r="B13" s="52"/>
      <c r="C13" s="56" t="s">
        <v>191</v>
      </c>
      <c r="D13" s="55" t="s">
        <v>190</v>
      </c>
      <c r="E13" s="59">
        <f>1-E6</f>
        <v>1</v>
      </c>
      <c r="F13" s="52"/>
    </row>
    <row r="14" spans="2:6">
      <c r="B14" s="52"/>
      <c r="C14" s="56" t="s">
        <v>189</v>
      </c>
      <c r="D14" s="55" t="s">
        <v>188</v>
      </c>
      <c r="E14" s="58">
        <f>E12*E13</f>
        <v>0</v>
      </c>
      <c r="F14" s="52"/>
    </row>
    <row r="15" spans="2:6">
      <c r="B15" s="52"/>
      <c r="C15" s="56" t="s">
        <v>187</v>
      </c>
      <c r="D15" s="55" t="s">
        <v>186</v>
      </c>
      <c r="E15" s="58" t="e">
        <f>E14-E11</f>
        <v>#N/A</v>
      </c>
      <c r="F15" s="52"/>
    </row>
    <row r="16" spans="2:6">
      <c r="B16" s="52"/>
      <c r="C16" s="56" t="s">
        <v>185</v>
      </c>
      <c r="D16" s="55" t="s">
        <v>184</v>
      </c>
      <c r="E16" s="57" t="e">
        <f>E15/E11</f>
        <v>#N/A</v>
      </c>
      <c r="F16" s="52"/>
    </row>
    <row r="17" spans="2:6">
      <c r="B17" s="52"/>
      <c r="C17" s="56" t="s">
        <v>183</v>
      </c>
      <c r="D17" s="55" t="s">
        <v>182</v>
      </c>
      <c r="E17" s="54" t="e">
        <f>E10*E16</f>
        <v>#N/A</v>
      </c>
      <c r="F17" s="52"/>
    </row>
    <row r="18" spans="2:6">
      <c r="B18" s="52"/>
      <c r="C18" s="56" t="s">
        <v>181</v>
      </c>
      <c r="D18" s="55" t="s">
        <v>180</v>
      </c>
      <c r="E18" s="54" t="e">
        <f>E10+E17</f>
        <v>#N/A</v>
      </c>
      <c r="F18" s="52"/>
    </row>
    <row r="19" spans="2:6">
      <c r="B19" s="52"/>
      <c r="C19" s="52"/>
      <c r="D19" s="52"/>
      <c r="E19" s="53"/>
      <c r="F19" s="52"/>
    </row>
    <row r="20" spans="2:6">
      <c r="B20" s="52"/>
      <c r="C20" s="52"/>
      <c r="D20" s="52"/>
      <c r="E20" s="53"/>
      <c r="F20" s="52"/>
    </row>
    <row r="21" spans="2:6">
      <c r="B21" s="52"/>
      <c r="C21" s="52"/>
      <c r="D21" s="52"/>
      <c r="E21" s="53"/>
      <c r="F21" s="52"/>
    </row>
  </sheetData>
  <sheetProtection sheet="1" objects="1" scenarios="1"/>
  <dataConsolidate/>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'Fall 2021 P2 FON'!$A$3:$A$74</xm:f>
          </x14:formula1>
          <xm:sqref>D3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1"/>
  <sheetViews>
    <sheetView zoomScale="130" zoomScaleNormal="130" workbookViewId="0">
      <selection sqref="A1:C1"/>
    </sheetView>
  </sheetViews>
  <sheetFormatPr defaultRowHeight="15"/>
  <cols>
    <col min="1" max="1" width="10.85546875" style="6" customWidth="1"/>
    <col min="2" max="2" width="21.42578125" customWidth="1"/>
    <col min="3" max="3" width="55.85546875" customWidth="1"/>
  </cols>
  <sheetData>
    <row r="1" spans="1:3" ht="22.5">
      <c r="A1" s="157" t="s">
        <v>233</v>
      </c>
      <c r="B1" s="157"/>
      <c r="C1" s="157"/>
    </row>
    <row r="2" spans="1:3" ht="22.5">
      <c r="A2" s="157" t="s">
        <v>106</v>
      </c>
      <c r="B2" s="157"/>
      <c r="C2" s="157"/>
    </row>
    <row r="3" spans="1:3" ht="23.25">
      <c r="A3" s="4"/>
      <c r="B3" s="5"/>
      <c r="C3" s="5"/>
    </row>
    <row r="4" spans="1:3" ht="27.4" customHeight="1">
      <c r="A4" s="158" t="s">
        <v>239</v>
      </c>
      <c r="B4" s="158"/>
      <c r="C4" s="158"/>
    </row>
    <row r="5" spans="1:3" ht="54" customHeight="1">
      <c r="A5" s="159" t="s">
        <v>240</v>
      </c>
      <c r="B5" s="159"/>
      <c r="C5" s="159"/>
    </row>
    <row r="7" spans="1:3" ht="15.75">
      <c r="A7" s="132" t="s">
        <v>107</v>
      </c>
      <c r="B7" s="133" t="s">
        <v>108</v>
      </c>
      <c r="C7" s="134"/>
    </row>
    <row r="8" spans="1:3" ht="15.75">
      <c r="A8" s="135"/>
      <c r="B8" s="136">
        <v>105033</v>
      </c>
      <c r="C8" s="134" t="s">
        <v>109</v>
      </c>
    </row>
    <row r="9" spans="1:3" ht="15.75">
      <c r="A9" s="135"/>
      <c r="B9" s="136">
        <f>B8*0.25</f>
        <v>26258.25</v>
      </c>
      <c r="C9" s="134" t="s">
        <v>110</v>
      </c>
    </row>
    <row r="10" spans="1:3" ht="15.75">
      <c r="A10" s="135"/>
      <c r="B10" s="137">
        <f>B8+B9</f>
        <v>131291.25</v>
      </c>
      <c r="C10" s="134" t="s">
        <v>111</v>
      </c>
    </row>
    <row r="11" spans="1:3" ht="15.75">
      <c r="A11" s="135"/>
      <c r="B11" s="134"/>
      <c r="C11" s="134"/>
    </row>
    <row r="12" spans="1:3" ht="15.75">
      <c r="A12" s="132" t="s">
        <v>112</v>
      </c>
      <c r="B12" s="133" t="s">
        <v>113</v>
      </c>
      <c r="C12" s="134"/>
    </row>
    <row r="13" spans="1:3" ht="15.75">
      <c r="A13" s="135"/>
      <c r="B13" s="136">
        <v>76.569999999999993</v>
      </c>
      <c r="C13" s="134" t="s">
        <v>114</v>
      </c>
    </row>
    <row r="14" spans="1:3" ht="15.75">
      <c r="A14" s="135"/>
      <c r="B14" s="134"/>
      <c r="C14" s="134" t="s">
        <v>115</v>
      </c>
    </row>
    <row r="15" spans="1:3" ht="15.75">
      <c r="A15" s="135"/>
      <c r="B15" s="134"/>
      <c r="C15" s="134"/>
    </row>
    <row r="16" spans="1:3" ht="15.75">
      <c r="A16" s="135"/>
      <c r="B16" s="134"/>
      <c r="C16" s="134" t="s">
        <v>116</v>
      </c>
    </row>
    <row r="17" spans="1:3" ht="15.75">
      <c r="A17" s="135"/>
      <c r="B17" s="136">
        <f>15*35*B13</f>
        <v>40199.25</v>
      </c>
      <c r="C17" s="134" t="s">
        <v>117</v>
      </c>
    </row>
    <row r="18" spans="1:3" ht="15.75">
      <c r="A18" s="135"/>
      <c r="B18" s="134"/>
      <c r="C18" s="134"/>
    </row>
    <row r="19" spans="1:3" ht="15.75">
      <c r="A19" s="135"/>
      <c r="B19" s="134"/>
      <c r="C19" s="134" t="s">
        <v>118</v>
      </c>
    </row>
    <row r="20" spans="1:3" ht="15.75">
      <c r="A20" s="135"/>
      <c r="B20" s="136">
        <f>$B$17*7.65%</f>
        <v>3075.2426249999999</v>
      </c>
      <c r="C20" s="134" t="s">
        <v>119</v>
      </c>
    </row>
    <row r="21" spans="1:3" ht="15.75">
      <c r="A21" s="135"/>
      <c r="B21" s="138">
        <f>$B$17*1.5%</f>
        <v>602.98874999999998</v>
      </c>
      <c r="C21" s="134" t="s">
        <v>120</v>
      </c>
    </row>
    <row r="22" spans="1:3" ht="15.75">
      <c r="A22" s="135"/>
      <c r="B22" s="138">
        <f>$B$17*0.1%</f>
        <v>40.199249999999999</v>
      </c>
      <c r="C22" s="134" t="s">
        <v>121</v>
      </c>
    </row>
    <row r="23" spans="1:3" ht="15.75">
      <c r="A23" s="135"/>
      <c r="B23" s="139">
        <f>$B$17*1.5%</f>
        <v>602.98874999999998</v>
      </c>
      <c r="C23" s="134" t="s">
        <v>122</v>
      </c>
    </row>
    <row r="24" spans="1:3" ht="15.75">
      <c r="A24" s="135"/>
      <c r="B24" s="136">
        <f>SUM(B20:B23)</f>
        <v>4321.4193749999995</v>
      </c>
      <c r="C24" s="134" t="s">
        <v>123</v>
      </c>
    </row>
    <row r="25" spans="1:3" ht="15.75">
      <c r="A25" s="135"/>
      <c r="B25" s="134"/>
      <c r="C25" s="134"/>
    </row>
    <row r="26" spans="1:3" ht="15.75">
      <c r="A26" s="135"/>
      <c r="B26" s="137">
        <f>B24+B17</f>
        <v>44520.669374999998</v>
      </c>
      <c r="C26" s="134" t="s">
        <v>124</v>
      </c>
    </row>
    <row r="27" spans="1:3" ht="15.75">
      <c r="A27" s="135"/>
      <c r="B27" s="134"/>
      <c r="C27" s="134"/>
    </row>
    <row r="28" spans="1:3" ht="16.5" thickBot="1">
      <c r="A28" s="135"/>
      <c r="B28" s="140">
        <f>ROUND(B10-B26,0)</f>
        <v>86771</v>
      </c>
      <c r="C28" s="134" t="s">
        <v>125</v>
      </c>
    </row>
    <row r="30" spans="1:3">
      <c r="B30" s="7"/>
    </row>
    <row r="31" spans="1:3">
      <c r="B31" s="7"/>
    </row>
  </sheetData>
  <sheetProtection sheet="1" objects="1" scenarios="1"/>
  <mergeCells count="4">
    <mergeCell ref="A1:C1"/>
    <mergeCell ref="A2:C2"/>
    <mergeCell ref="A4:C4"/>
    <mergeCell ref="A5:C5"/>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AE4BCF4D8983C40A36124FC3310ACB6" ma:contentTypeVersion="13" ma:contentTypeDescription="Create a new document." ma:contentTypeScope="" ma:versionID="e5d6dccae679e56a8b88b329b4ab2e7b">
  <xsd:schema xmlns:xsd="http://www.w3.org/2001/XMLSchema" xmlns:xs="http://www.w3.org/2001/XMLSchema" xmlns:p="http://schemas.microsoft.com/office/2006/metadata/properties" xmlns:ns3="c879b346-0b7d-453e-989e-4db3ade23c72" xmlns:ns4="89474bdd-c09e-4360-a4ae-bc1ba9dad73d" targetNamespace="http://schemas.microsoft.com/office/2006/metadata/properties" ma:root="true" ma:fieldsID="a5d4976b2553fd151da440897677418b" ns3:_="" ns4:_="">
    <xsd:import namespace="c879b346-0b7d-453e-989e-4db3ade23c72"/>
    <xsd:import namespace="89474bdd-c09e-4360-a4ae-bc1ba9dad73d"/>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79b346-0b7d-453e-989e-4db3ade23c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474bdd-c09e-4360-a4ae-bc1ba9dad73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54BCCD-9FD5-4B7C-AC0E-C9007457E5D0}">
  <ds:schemaRefs>
    <ds:schemaRef ds:uri="http://schemas.microsoft.com/office/2006/metadata/properties"/>
    <ds:schemaRef ds:uri="89474bdd-c09e-4360-a4ae-bc1ba9dad73d"/>
    <ds:schemaRef ds:uri="c879b346-0b7d-453e-989e-4db3ade23c72"/>
    <ds:schemaRef ds:uri="http://www.w3.org/XML/1998/namespace"/>
    <ds:schemaRef ds:uri="http://purl.org/dc/terms/"/>
    <ds:schemaRef ds:uri="http://purl.org/dc/dcmitype/"/>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3CD03FDF-4467-4926-88C5-05013DCD4F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79b346-0b7d-453e-989e-4db3ade23c72"/>
    <ds:schemaRef ds:uri="89474bdd-c09e-4360-a4ae-bc1ba9dad7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B5F083D-3C6F-49F0-8D32-CEEF5D4EA0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Fall 2021 FON Compliance Form</vt:lpstr>
      <vt:lpstr>Definitions</vt:lpstr>
      <vt:lpstr>Fall 2021 Compliance FON</vt:lpstr>
      <vt:lpstr>Fall 2021 P2 FON</vt:lpstr>
      <vt:lpstr>FON Estimator</vt:lpstr>
      <vt:lpstr>ReplacementCost</vt:lpstr>
      <vt:lpstr>Base_FON___2019_20_R1_FON___a</vt:lpstr>
      <vt:lpstr>'Fall 2021 FON Compliance Form'!Fall2021_ComplianceFON</vt:lpstr>
      <vt:lpstr>Fall2021P2ComplianceFONCalc</vt:lpstr>
      <vt:lpstr>'Fall 2021 Compliance FON'!Print_Area</vt:lpstr>
      <vt:lpstr>'Fall 2021 FON Compliance Form'!Print_Area</vt:lpstr>
      <vt:lpstr>'Fall 2021 P2 FON'!Print_Area</vt:lpstr>
      <vt:lpstr>'FON Estimator'!Print_Area</vt:lpstr>
      <vt:lpstr>'Fall 2021 Compliance FON'!Print_Titles</vt:lpstr>
      <vt:lpstr>'Fall 2021 P2 FON'!Print_Titles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Kashu Vyas</dc:creator>
  <cp:lastModifiedBy>Anna Gonzalez</cp:lastModifiedBy>
  <cp:lastPrinted>2021-07-23T18:43:24Z</cp:lastPrinted>
  <dcterms:created xsi:type="dcterms:W3CDTF">2021-07-16T00:14:40Z</dcterms:created>
  <dcterms:modified xsi:type="dcterms:W3CDTF">2021-10-07T23:25:21Z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0x0101009AE4BCF4D8983C40A36124FC3310ACB6</vt:lpwstr>
  </property>
</Properties>
</file>